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12"/>
  </bookViews>
  <sheets>
    <sheet name="საბოლოო ფორმა N3" sheetId="16" r:id="rId1"/>
    <sheet name="საბოლოო ფორმა N2" sheetId="15" r:id="rId2"/>
    <sheet name="შუალედური ფორმა N3" sheetId="8" r:id="rId3"/>
    <sheet name="შუალედური ფორმა N2" sheetId="6" r:id="rId4"/>
    <sheet name="ცვლილების აქტი" sheetId="10" r:id="rId5"/>
    <sheet name="1-1-ახ_ნიმუში" sheetId="17" r:id="rId6"/>
    <sheet name="Sheet5" sheetId="7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0" l="1"/>
  <c r="G12" i="17"/>
  <c r="C12" i="17"/>
  <c r="C11" i="17"/>
  <c r="J7" i="17"/>
  <c r="H7" i="17"/>
  <c r="F7" i="17"/>
  <c r="K7" i="17" l="1"/>
  <c r="H12" i="6" l="1"/>
  <c r="I13" i="10" l="1"/>
  <c r="J12" i="15" s="1"/>
  <c r="H14" i="10"/>
  <c r="I14" i="10" s="1"/>
  <c r="J13" i="15" s="1"/>
  <c r="H15" i="10"/>
  <c r="I15" i="10" s="1"/>
  <c r="J14" i="15" s="1"/>
  <c r="H16" i="10"/>
  <c r="I16" i="10" s="1"/>
  <c r="J15" i="15" s="1"/>
  <c r="H17" i="10"/>
  <c r="I17" i="10" s="1"/>
  <c r="J16" i="15" s="1"/>
  <c r="H18" i="10"/>
  <c r="I18" i="10" s="1"/>
  <c r="J17" i="15" s="1"/>
  <c r="H19" i="10"/>
  <c r="I19" i="10" s="1"/>
  <c r="J18" i="15" s="1"/>
  <c r="H20" i="10"/>
  <c r="I20" i="10" s="1"/>
  <c r="J19" i="15" s="1"/>
  <c r="H21" i="10"/>
  <c r="I21" i="10" s="1"/>
  <c r="J20" i="15" s="1"/>
  <c r="H22" i="10"/>
  <c r="I22" i="10" s="1"/>
  <c r="J21" i="15" s="1"/>
  <c r="H23" i="10"/>
  <c r="I23" i="10" s="1"/>
  <c r="J22" i="15" s="1"/>
  <c r="H24" i="10"/>
  <c r="I24" i="10" s="1"/>
  <c r="J23" i="15" s="1"/>
  <c r="H25" i="10"/>
  <c r="I25" i="10" s="1"/>
  <c r="J24" i="15" s="1"/>
  <c r="H26" i="10"/>
  <c r="I26" i="10" s="1"/>
  <c r="J25" i="15" s="1"/>
  <c r="H27" i="10"/>
  <c r="I27" i="10" s="1"/>
  <c r="J26" i="15" s="1"/>
  <c r="H28" i="10"/>
  <c r="I28" i="10" s="1"/>
  <c r="J27" i="15" s="1"/>
  <c r="H29" i="10"/>
  <c r="I29" i="10" s="1"/>
  <c r="J28" i="15" s="1"/>
  <c r="H30" i="10"/>
  <c r="I30" i="10" s="1"/>
  <c r="J29" i="15" s="1"/>
  <c r="H31" i="10"/>
  <c r="I31" i="10" s="1"/>
  <c r="J30" i="15" s="1"/>
  <c r="H32" i="10"/>
  <c r="I32" i="10" s="1"/>
  <c r="J31" i="15" s="1"/>
  <c r="H33" i="10"/>
  <c r="I33" i="10" s="1"/>
  <c r="J32" i="15" s="1"/>
  <c r="H34" i="10"/>
  <c r="I34" i="10" s="1"/>
  <c r="J33" i="15" s="1"/>
  <c r="H35" i="10"/>
  <c r="I35" i="10" s="1"/>
  <c r="J34" i="15" s="1"/>
  <c r="H36" i="10"/>
  <c r="I36" i="10" s="1"/>
  <c r="J35" i="15" s="1"/>
  <c r="H37" i="10"/>
  <c r="I37" i="10" s="1"/>
  <c r="J36" i="15" s="1"/>
  <c r="H38" i="10"/>
  <c r="I38" i="10" s="1"/>
  <c r="J37" i="15" s="1"/>
  <c r="H39" i="10"/>
  <c r="I39" i="10" s="1"/>
  <c r="J38" i="15" s="1"/>
  <c r="H12" i="10"/>
  <c r="I12" i="10" s="1"/>
  <c r="J11" i="15" s="1"/>
  <c r="J13" i="10"/>
  <c r="K13" i="10" s="1"/>
  <c r="J14" i="10"/>
  <c r="K14" i="10" s="1"/>
  <c r="J15" i="10"/>
  <c r="G14" i="15" s="1"/>
  <c r="J16" i="10"/>
  <c r="J17" i="10"/>
  <c r="K17" i="10" s="1"/>
  <c r="J18" i="10"/>
  <c r="K18" i="10" s="1"/>
  <c r="J19" i="10"/>
  <c r="J20" i="10"/>
  <c r="J21" i="10"/>
  <c r="K21" i="10" s="1"/>
  <c r="J22" i="10"/>
  <c r="K22" i="10" s="1"/>
  <c r="J23" i="10"/>
  <c r="J24" i="10"/>
  <c r="J25" i="10"/>
  <c r="G24" i="15" s="1"/>
  <c r="J26" i="10"/>
  <c r="K26" i="10" s="1"/>
  <c r="J27" i="10"/>
  <c r="J28" i="10"/>
  <c r="J29" i="10"/>
  <c r="G28" i="15" s="1"/>
  <c r="J30" i="10"/>
  <c r="K30" i="10" s="1"/>
  <c r="J31" i="10"/>
  <c r="J32" i="10"/>
  <c r="J34" i="10"/>
  <c r="J35" i="10"/>
  <c r="J36" i="10"/>
  <c r="J37" i="10"/>
  <c r="J38" i="10"/>
  <c r="J39" i="10"/>
  <c r="G38" i="15" s="1"/>
  <c r="J12" i="10"/>
  <c r="K12" i="10" s="1"/>
  <c r="G17" i="15"/>
  <c r="G18" i="15"/>
  <c r="G22" i="15"/>
  <c r="G25" i="15"/>
  <c r="G26" i="15"/>
  <c r="G30" i="15"/>
  <c r="G33" i="15"/>
  <c r="G34" i="15"/>
  <c r="G36" i="15"/>
  <c r="A12" i="15"/>
  <c r="B12" i="15"/>
  <c r="C12" i="15"/>
  <c r="D12" i="15"/>
  <c r="E12" i="15"/>
  <c r="A13" i="15"/>
  <c r="B13" i="15"/>
  <c r="C13" i="15"/>
  <c r="D13" i="15"/>
  <c r="E13" i="15"/>
  <c r="A14" i="15"/>
  <c r="B14" i="15"/>
  <c r="C14" i="15"/>
  <c r="D14" i="15"/>
  <c r="E14" i="15"/>
  <c r="A15" i="15"/>
  <c r="B15" i="15"/>
  <c r="C15" i="15"/>
  <c r="D15" i="15"/>
  <c r="E15" i="15"/>
  <c r="A16" i="15"/>
  <c r="B16" i="15"/>
  <c r="C16" i="15"/>
  <c r="D16" i="15"/>
  <c r="E16" i="15"/>
  <c r="A17" i="15"/>
  <c r="B17" i="15"/>
  <c r="C17" i="15"/>
  <c r="D17" i="15"/>
  <c r="E17" i="15"/>
  <c r="A18" i="15"/>
  <c r="B18" i="15"/>
  <c r="C18" i="15"/>
  <c r="D18" i="15"/>
  <c r="E18" i="15"/>
  <c r="A19" i="15"/>
  <c r="B19" i="15"/>
  <c r="C19" i="15"/>
  <c r="D19" i="15"/>
  <c r="E19" i="15"/>
  <c r="A20" i="15"/>
  <c r="B20" i="15"/>
  <c r="C20" i="15"/>
  <c r="D20" i="15"/>
  <c r="E20" i="15"/>
  <c r="A21" i="15"/>
  <c r="B21" i="15"/>
  <c r="C21" i="15"/>
  <c r="D21" i="15"/>
  <c r="E21" i="15"/>
  <c r="A22" i="15"/>
  <c r="B22" i="15"/>
  <c r="C22" i="15"/>
  <c r="D22" i="15"/>
  <c r="E22" i="15"/>
  <c r="A23" i="15"/>
  <c r="B23" i="15"/>
  <c r="C23" i="15"/>
  <c r="D23" i="15"/>
  <c r="E23" i="15"/>
  <c r="A24" i="15"/>
  <c r="B24" i="15"/>
  <c r="C24" i="15"/>
  <c r="D24" i="15"/>
  <c r="E24" i="15"/>
  <c r="A25" i="15"/>
  <c r="B25" i="15"/>
  <c r="C25" i="15"/>
  <c r="D25" i="15"/>
  <c r="E25" i="15"/>
  <c r="A26" i="15"/>
  <c r="B26" i="15"/>
  <c r="C26" i="15"/>
  <c r="D26" i="15"/>
  <c r="E26" i="15"/>
  <c r="A27" i="15"/>
  <c r="B27" i="15"/>
  <c r="C27" i="15"/>
  <c r="D27" i="15"/>
  <c r="E27" i="15"/>
  <c r="A28" i="15"/>
  <c r="B28" i="15"/>
  <c r="C28" i="15"/>
  <c r="D28" i="15"/>
  <c r="E28" i="15"/>
  <c r="A29" i="15"/>
  <c r="B29" i="15"/>
  <c r="C29" i="15"/>
  <c r="D29" i="15"/>
  <c r="E29" i="15"/>
  <c r="A30" i="15"/>
  <c r="B30" i="15"/>
  <c r="C30" i="15"/>
  <c r="D30" i="15"/>
  <c r="E30" i="15"/>
  <c r="A31" i="15"/>
  <c r="B31" i="15"/>
  <c r="C31" i="15"/>
  <c r="D31" i="15"/>
  <c r="E31" i="15"/>
  <c r="A32" i="15"/>
  <c r="B32" i="15"/>
  <c r="C32" i="15"/>
  <c r="E32" i="15"/>
  <c r="A33" i="15"/>
  <c r="B33" i="15"/>
  <c r="C33" i="15"/>
  <c r="D33" i="15"/>
  <c r="E33" i="15"/>
  <c r="A34" i="15"/>
  <c r="B34" i="15"/>
  <c r="C34" i="15"/>
  <c r="D34" i="15"/>
  <c r="E34" i="15"/>
  <c r="A35" i="15"/>
  <c r="B35" i="15"/>
  <c r="C35" i="15"/>
  <c r="D35" i="15"/>
  <c r="E35" i="15"/>
  <c r="A36" i="15"/>
  <c r="B36" i="15"/>
  <c r="C36" i="15"/>
  <c r="D36" i="15"/>
  <c r="E36" i="15"/>
  <c r="A37" i="15"/>
  <c r="B37" i="15"/>
  <c r="C37" i="15"/>
  <c r="D37" i="15"/>
  <c r="E37" i="15"/>
  <c r="A38" i="15"/>
  <c r="B38" i="15"/>
  <c r="C38" i="15"/>
  <c r="D38" i="15"/>
  <c r="E38" i="15"/>
  <c r="B39" i="15"/>
  <c r="B40" i="15"/>
  <c r="C40" i="15"/>
  <c r="B41" i="15"/>
  <c r="B42" i="15"/>
  <c r="C42" i="15"/>
  <c r="B43" i="15"/>
  <c r="B44" i="15"/>
  <c r="C44" i="15"/>
  <c r="B45" i="15"/>
  <c r="B46" i="15"/>
  <c r="C46" i="15"/>
  <c r="B47" i="15"/>
  <c r="E11" i="15"/>
  <c r="D11" i="15"/>
  <c r="C11" i="15"/>
  <c r="B11" i="15"/>
  <c r="A11" i="15"/>
  <c r="G13" i="15" l="1"/>
  <c r="G29" i="15"/>
  <c r="G21" i="15"/>
  <c r="G16" i="15"/>
  <c r="H16" i="15" s="1"/>
  <c r="K32" i="10"/>
  <c r="K28" i="10"/>
  <c r="K24" i="10"/>
  <c r="K20" i="10"/>
  <c r="K36" i="10"/>
  <c r="K31" i="10"/>
  <c r="K27" i="10"/>
  <c r="K23" i="10"/>
  <c r="K19" i="10"/>
  <c r="K39" i="10"/>
  <c r="K35" i="10"/>
  <c r="K38" i="10"/>
  <c r="K34" i="10"/>
  <c r="K37" i="10"/>
  <c r="K25" i="10"/>
  <c r="G37" i="15"/>
  <c r="H37" i="15" s="1"/>
  <c r="G20" i="15"/>
  <c r="H20" i="15" s="1"/>
  <c r="K29" i="10"/>
  <c r="I38" i="15"/>
  <c r="I21" i="15"/>
  <c r="G12" i="15"/>
  <c r="I12" i="15" s="1"/>
  <c r="K16" i="10"/>
  <c r="I33" i="15"/>
  <c r="I36" i="15"/>
  <c r="I26" i="15"/>
  <c r="I22" i="15"/>
  <c r="K15" i="10"/>
  <c r="I14" i="15"/>
  <c r="I17" i="15"/>
  <c r="H30" i="15"/>
  <c r="I30" i="15"/>
  <c r="I25" i="15"/>
  <c r="H14" i="15"/>
  <c r="I20" i="15"/>
  <c r="H26" i="15"/>
  <c r="H21" i="15"/>
  <c r="H36" i="15"/>
  <c r="H25" i="15"/>
  <c r="H34" i="15"/>
  <c r="H29" i="15"/>
  <c r="H24" i="15"/>
  <c r="H18" i="15"/>
  <c r="H13" i="15"/>
  <c r="H38" i="15"/>
  <c r="H33" i="15"/>
  <c r="H28" i="15"/>
  <c r="H22" i="15"/>
  <c r="H17" i="15"/>
  <c r="I29" i="15"/>
  <c r="I34" i="15"/>
  <c r="I13" i="15"/>
  <c r="I18" i="15"/>
  <c r="I24" i="15"/>
  <c r="G35" i="15"/>
  <c r="G31" i="15"/>
  <c r="G27" i="15"/>
  <c r="G23" i="15"/>
  <c r="G19" i="15"/>
  <c r="G15" i="15"/>
  <c r="I28" i="15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L22" i="6" s="1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F32" i="6"/>
  <c r="E33" i="6"/>
  <c r="F33" i="6"/>
  <c r="E34" i="6"/>
  <c r="F34" i="6"/>
  <c r="E35" i="6"/>
  <c r="F35" i="6"/>
  <c r="E36" i="6"/>
  <c r="F36" i="6"/>
  <c r="E37" i="6"/>
  <c r="F37" i="6"/>
  <c r="E38" i="6"/>
  <c r="F38" i="6"/>
  <c r="L38" i="6" s="1"/>
  <c r="I16" i="15" l="1"/>
  <c r="I37" i="15"/>
  <c r="H12" i="15"/>
  <c r="I35" i="15"/>
  <c r="H35" i="15"/>
  <c r="I23" i="15"/>
  <c r="H23" i="15"/>
  <c r="I27" i="15"/>
  <c r="H27" i="15"/>
  <c r="I19" i="15"/>
  <c r="H19" i="15"/>
  <c r="I15" i="15"/>
  <c r="H15" i="15"/>
  <c r="I31" i="15"/>
  <c r="H31" i="15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N30" i="6"/>
  <c r="N31" i="6"/>
  <c r="N32" i="6"/>
  <c r="N33" i="6"/>
  <c r="N34" i="6"/>
  <c r="N35" i="6"/>
  <c r="N36" i="6"/>
  <c r="N37" i="6"/>
  <c r="N38" i="6"/>
  <c r="L30" i="6"/>
  <c r="L31" i="6"/>
  <c r="L32" i="6"/>
  <c r="L33" i="6"/>
  <c r="L34" i="6"/>
  <c r="L35" i="6"/>
  <c r="L36" i="6"/>
  <c r="L37" i="6"/>
  <c r="C46" i="6"/>
  <c r="C40" i="6"/>
  <c r="D40" i="6"/>
  <c r="C41" i="6"/>
  <c r="C42" i="6"/>
  <c r="D42" i="6"/>
  <c r="C43" i="6"/>
  <c r="C44" i="6"/>
  <c r="D44" i="6"/>
  <c r="C45" i="6"/>
  <c r="D46" i="6"/>
  <c r="C47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C39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D12" i="6"/>
  <c r="C12" i="6"/>
  <c r="B12" i="6"/>
  <c r="I35" i="6" l="1"/>
  <c r="J35" i="6"/>
  <c r="I27" i="6"/>
  <c r="J27" i="6"/>
  <c r="I23" i="6"/>
  <c r="J23" i="6"/>
  <c r="I15" i="6"/>
  <c r="J15" i="6"/>
  <c r="I34" i="6"/>
  <c r="J34" i="6"/>
  <c r="I30" i="6"/>
  <c r="J30" i="6"/>
  <c r="I26" i="6"/>
  <c r="J26" i="6"/>
  <c r="I22" i="6"/>
  <c r="J22" i="6"/>
  <c r="I18" i="6"/>
  <c r="J18" i="6"/>
  <c r="I14" i="6"/>
  <c r="J14" i="6"/>
  <c r="J37" i="6"/>
  <c r="I37" i="6"/>
  <c r="J33" i="6"/>
  <c r="I33" i="6"/>
  <c r="I29" i="6"/>
  <c r="J29" i="6"/>
  <c r="J25" i="6"/>
  <c r="I25" i="6"/>
  <c r="J21" i="6"/>
  <c r="I21" i="6"/>
  <c r="I17" i="6"/>
  <c r="J17" i="6"/>
  <c r="J13" i="6"/>
  <c r="I13" i="6"/>
  <c r="J31" i="6"/>
  <c r="I31" i="6"/>
  <c r="J19" i="6"/>
  <c r="I19" i="6"/>
  <c r="J36" i="6"/>
  <c r="I36" i="6"/>
  <c r="I32" i="6"/>
  <c r="J28" i="6"/>
  <c r="I28" i="6"/>
  <c r="J24" i="6"/>
  <c r="I24" i="6"/>
  <c r="J20" i="6"/>
  <c r="I20" i="6"/>
  <c r="J16" i="6"/>
  <c r="I16" i="6"/>
  <c r="I12" i="6"/>
  <c r="J12" i="6"/>
  <c r="J38" i="6"/>
  <c r="I38" i="6"/>
  <c r="F13" i="10"/>
  <c r="F12" i="15" s="1"/>
  <c r="I39" i="6" l="1"/>
  <c r="I40" i="6" s="1"/>
  <c r="I41" i="6" s="1"/>
  <c r="I42" i="6" s="1"/>
  <c r="I43" i="6" s="1"/>
  <c r="I45" i="6" s="1"/>
  <c r="I46" i="6" s="1"/>
  <c r="I47" i="6" s="1"/>
  <c r="F39" i="10"/>
  <c r="F38" i="10"/>
  <c r="F37" i="10"/>
  <c r="F36" i="10"/>
  <c r="F35" i="10"/>
  <c r="F34" i="10"/>
  <c r="D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G19" i="6" s="1"/>
  <c r="F19" i="10"/>
  <c r="F18" i="10"/>
  <c r="F17" i="10"/>
  <c r="F16" i="10"/>
  <c r="F15" i="10"/>
  <c r="F14" i="10"/>
  <c r="F12" i="10"/>
  <c r="F16" i="15" l="1"/>
  <c r="G16" i="6"/>
  <c r="F24" i="15"/>
  <c r="G24" i="6"/>
  <c r="F28" i="15"/>
  <c r="G28" i="6"/>
  <c r="J33" i="10"/>
  <c r="K33" i="10" s="1"/>
  <c r="D32" i="15"/>
  <c r="E32" i="6"/>
  <c r="J32" i="6" s="1"/>
  <c r="F35" i="15"/>
  <c r="G35" i="6"/>
  <c r="F13" i="15"/>
  <c r="G13" i="6"/>
  <c r="F17" i="15"/>
  <c r="G17" i="6"/>
  <c r="F21" i="15"/>
  <c r="G21" i="6"/>
  <c r="F25" i="15"/>
  <c r="G25" i="6"/>
  <c r="F29" i="15"/>
  <c r="G29" i="6"/>
  <c r="F33" i="10"/>
  <c r="F40" i="10" s="1"/>
  <c r="F36" i="15"/>
  <c r="G36" i="6"/>
  <c r="F20" i="15"/>
  <c r="G20" i="6"/>
  <c r="F14" i="15"/>
  <c r="G14" i="6"/>
  <c r="F18" i="15"/>
  <c r="G18" i="6"/>
  <c r="F22" i="15"/>
  <c r="G22" i="6"/>
  <c r="F26" i="15"/>
  <c r="G26" i="6"/>
  <c r="F30" i="15"/>
  <c r="G30" i="6"/>
  <c r="F33" i="15"/>
  <c r="G33" i="6"/>
  <c r="F37" i="15"/>
  <c r="G37" i="6"/>
  <c r="F15" i="15"/>
  <c r="G15" i="6"/>
  <c r="F23" i="15"/>
  <c r="G23" i="6"/>
  <c r="F27" i="15"/>
  <c r="G27" i="6"/>
  <c r="F31" i="15"/>
  <c r="G31" i="6"/>
  <c r="F34" i="15"/>
  <c r="G34" i="6"/>
  <c r="F38" i="15"/>
  <c r="G38" i="6"/>
  <c r="G11" i="15"/>
  <c r="F11" i="15"/>
  <c r="G12" i="6"/>
  <c r="G32" i="15" l="1"/>
  <c r="F32" i="15"/>
  <c r="G32" i="6"/>
  <c r="K40" i="10"/>
  <c r="K41" i="10" s="1"/>
  <c r="K42" i="10" s="1"/>
  <c r="K43" i="10" s="1"/>
  <c r="K44" i="10" s="1"/>
  <c r="K46" i="10" s="1"/>
  <c r="K47" i="10" s="1"/>
  <c r="K48" i="10" s="1"/>
  <c r="I11" i="15"/>
  <c r="H11" i="15"/>
  <c r="F41" i="10"/>
  <c r="F39" i="15"/>
  <c r="G39" i="6"/>
  <c r="I40" i="10"/>
  <c r="G17" i="8"/>
  <c r="F17" i="8"/>
  <c r="E17" i="8"/>
  <c r="A90" i="7"/>
  <c r="E90" i="7" s="1"/>
  <c r="G75" i="7"/>
  <c r="D68" i="7"/>
  <c r="G67" i="7"/>
  <c r="D63" i="7"/>
  <c r="C63" i="7"/>
  <c r="C70" i="7" s="1"/>
  <c r="F73" i="7" s="1"/>
  <c r="G73" i="7" s="1"/>
  <c r="B63" i="7"/>
  <c r="B70" i="7" s="1"/>
  <c r="F62" i="7"/>
  <c r="G62" i="7" s="1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41" i="10" l="1"/>
  <c r="J39" i="15"/>
  <c r="I32" i="15"/>
  <c r="H32" i="15"/>
  <c r="F42" i="10"/>
  <c r="F40" i="15"/>
  <c r="G40" i="6"/>
  <c r="G35" i="7"/>
  <c r="G39" i="7"/>
  <c r="G41" i="7"/>
  <c r="G43" i="7"/>
  <c r="G36" i="7"/>
  <c r="G40" i="7"/>
  <c r="G44" i="7"/>
  <c r="G42" i="7"/>
  <c r="G38" i="7"/>
  <c r="G21" i="7"/>
  <c r="G37" i="7"/>
  <c r="G22" i="7"/>
  <c r="G23" i="7"/>
  <c r="G24" i="7"/>
  <c r="G25" i="7"/>
  <c r="G26" i="7"/>
  <c r="G27" i="7"/>
  <c r="G28" i="7"/>
  <c r="G29" i="7"/>
  <c r="G30" i="7"/>
  <c r="G31" i="7"/>
  <c r="G32" i="7"/>
  <c r="E63" i="7"/>
  <c r="E68" i="7" s="1"/>
  <c r="E69" i="7" s="1"/>
  <c r="E70" i="7" s="1"/>
  <c r="I21" i="7"/>
  <c r="F63" i="7"/>
  <c r="F68" i="7" s="1"/>
  <c r="F69" i="7" s="1"/>
  <c r="F70" i="7" s="1"/>
  <c r="F72" i="7" s="1"/>
  <c r="G34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I42" i="10" l="1"/>
  <c r="J40" i="15"/>
  <c r="F43" i="10"/>
  <c r="F41" i="15"/>
  <c r="G41" i="6"/>
  <c r="G70" i="7"/>
  <c r="I70" i="7"/>
  <c r="E72" i="7"/>
  <c r="E76" i="7" s="1"/>
  <c r="E77" i="7" s="1"/>
  <c r="E80" i="7" s="1"/>
  <c r="E81" i="7" s="1"/>
  <c r="G63" i="7"/>
  <c r="G68" i="7" s="1"/>
  <c r="G69" i="7" s="1"/>
  <c r="F74" i="7"/>
  <c r="F76" i="7" s="1"/>
  <c r="F77" i="7" s="1"/>
  <c r="F80" i="7" s="1"/>
  <c r="F81" i="7" s="1"/>
  <c r="F83" i="7" s="1"/>
  <c r="K62" i="7"/>
  <c r="K63" i="7" s="1"/>
  <c r="K64" i="7" s="1"/>
  <c r="G72" i="7"/>
  <c r="G76" i="7" s="1"/>
  <c r="G77" i="7" s="1"/>
  <c r="G80" i="7" s="1"/>
  <c r="G81" i="7" s="1"/>
  <c r="I43" i="10" l="1"/>
  <c r="J41" i="15"/>
  <c r="F44" i="10"/>
  <c r="F42" i="15"/>
  <c r="G42" i="6"/>
  <c r="L13" i="6"/>
  <c r="L14" i="6"/>
  <c r="L15" i="6"/>
  <c r="L16" i="6"/>
  <c r="L17" i="6"/>
  <c r="L18" i="6"/>
  <c r="L19" i="6"/>
  <c r="L20" i="6"/>
  <c r="L21" i="6"/>
  <c r="L23" i="6"/>
  <c r="L24" i="6"/>
  <c r="L25" i="6"/>
  <c r="L26" i="6"/>
  <c r="L27" i="6"/>
  <c r="L28" i="6"/>
  <c r="L29" i="6"/>
  <c r="L12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I44" i="10" l="1"/>
  <c r="J42" i="15"/>
  <c r="F43" i="15"/>
  <c r="G43" i="6"/>
  <c r="F45" i="10"/>
  <c r="L39" i="6"/>
  <c r="L40" i="6" s="1"/>
  <c r="L41" i="6" s="1"/>
  <c r="L42" i="6" s="1"/>
  <c r="L43" i="6" s="1"/>
  <c r="L45" i="6" s="1"/>
  <c r="L46" i="6" s="1"/>
  <c r="N39" i="6"/>
  <c r="N40" i="6" s="1"/>
  <c r="N41" i="6" s="1"/>
  <c r="N42" i="6" s="1"/>
  <c r="N43" i="6" s="1"/>
  <c r="N45" i="6" s="1"/>
  <c r="N46" i="6" s="1"/>
  <c r="J43" i="15" l="1"/>
  <c r="F46" i="10"/>
  <c r="F44" i="15"/>
  <c r="G44" i="6"/>
  <c r="E18" i="8"/>
  <c r="F18" i="8"/>
  <c r="N47" i="6"/>
  <c r="F19" i="8"/>
  <c r="L47" i="6"/>
  <c r="E19" i="8"/>
  <c r="I46" i="10" l="1"/>
  <c r="J44" i="15"/>
  <c r="F47" i="10"/>
  <c r="F45" i="15"/>
  <c r="C18" i="16" s="1"/>
  <c r="D18" i="8"/>
  <c r="G45" i="6"/>
  <c r="G18" i="8"/>
  <c r="G19" i="8" s="1"/>
  <c r="G20" i="8" s="1"/>
  <c r="F20" i="8"/>
  <c r="F21" i="8" s="1"/>
  <c r="J45" i="15" l="1"/>
  <c r="E18" i="16" s="1"/>
  <c r="I47" i="10"/>
  <c r="F48" i="10"/>
  <c r="F46" i="15"/>
  <c r="C19" i="16" s="1"/>
  <c r="C20" i="16" s="1"/>
  <c r="C21" i="16" s="1"/>
  <c r="D19" i="8"/>
  <c r="D20" i="8" s="1"/>
  <c r="H27" i="8" s="1"/>
  <c r="H28" i="8" s="1"/>
  <c r="G46" i="6"/>
  <c r="E20" i="8"/>
  <c r="J46" i="15" l="1"/>
  <c r="I48" i="10"/>
  <c r="F23" i="8"/>
  <c r="F47" i="15"/>
  <c r="G47" i="6"/>
  <c r="J47" i="6" s="1"/>
  <c r="H39" i="15"/>
  <c r="J47" i="15" l="1"/>
  <c r="F19" i="15"/>
  <c r="E19" i="16"/>
  <c r="E20" i="16" s="1"/>
  <c r="E21" i="16" s="1"/>
  <c r="H40" i="15"/>
  <c r="H41" i="15" s="1"/>
  <c r="H42" i="15" s="1"/>
  <c r="H43" i="15" s="1"/>
  <c r="H45" i="15" s="1"/>
  <c r="H46" i="15" l="1"/>
  <c r="D18" i="16"/>
  <c r="H47" i="15" l="1"/>
  <c r="D19" i="16"/>
  <c r="D20" i="16" s="1"/>
  <c r="D21" i="16" s="1"/>
</calcChain>
</file>

<file path=xl/sharedStrings.xml><?xml version="1.0" encoding="utf-8"?>
<sst xmlns="http://schemas.openxmlformats.org/spreadsheetml/2006/main" count="321" uniqueCount="207">
  <si>
    <t>%</t>
  </si>
  <si>
    <t>დამკვეთი:</t>
  </si>
  <si>
    <t>შემსრულებელი:</t>
  </si>
  <si>
    <t>მიხა გაზდელიანი</t>
  </si>
  <si>
    <t>ჯამი</t>
  </si>
  <si>
    <t>დარჩენილი</t>
  </si>
  <si>
    <t>ფიზიკური პროგრესი</t>
  </si>
  <si>
    <t xml:space="preserve">Prepared by: </t>
  </si>
  <si>
    <t>Approved by:</t>
  </si>
  <si>
    <t>Pascal Jansen</t>
  </si>
  <si>
    <t>Project Manager</t>
  </si>
  <si>
    <t>Engineer Representative (EPTISA)</t>
  </si>
  <si>
    <t>განზ.</t>
  </si>
  <si>
    <t>ერთ. ფასი</t>
  </si>
  <si>
    <t>Date: .23/08/.2015</t>
  </si>
  <si>
    <t>UNITED WATER SUPPLY COMPANY OF GEORGIA</t>
  </si>
  <si>
    <t>76 b, Vaja-Pshavela Ave.</t>
  </si>
  <si>
    <t>Tbilisi, Georgia</t>
  </si>
  <si>
    <t>UWSCG/ICB/CW/2013-REG-01</t>
  </si>
  <si>
    <t xml:space="preserve"> INTERIM PAYMENT CERTIFICATE Nr. 13</t>
  </si>
  <si>
    <t xml:space="preserve">SUMMARY </t>
  </si>
  <si>
    <t>Original</t>
  </si>
  <si>
    <t>Contract Price</t>
  </si>
  <si>
    <t>Revised</t>
  </si>
  <si>
    <t>Previous</t>
  </si>
  <si>
    <t>This Period Activity</t>
  </si>
  <si>
    <t>New</t>
  </si>
  <si>
    <t>Description</t>
  </si>
  <si>
    <t>AFTER VO#6</t>
  </si>
  <si>
    <t>Price as per VO#01</t>
  </si>
  <si>
    <t>Cumulative</t>
  </si>
  <si>
    <t xml:space="preserve"> Cumulative</t>
  </si>
  <si>
    <t>REST</t>
  </si>
  <si>
    <t>GEL</t>
  </si>
  <si>
    <t>1. Advance Payment</t>
  </si>
  <si>
    <t>2. Permanent Works</t>
  </si>
  <si>
    <t>KUTAISI.</t>
  </si>
  <si>
    <t xml:space="preserve">    Bill 100: General Items</t>
  </si>
  <si>
    <t xml:space="preserve">    Bill 200: Setting Out and Site Clearance</t>
  </si>
  <si>
    <t xml:space="preserve">    Bill 300: Earthworks</t>
  </si>
  <si>
    <t xml:space="preserve">    Bill 400: Pipes</t>
  </si>
  <si>
    <t xml:space="preserve">    Bill 500: Demolition Works </t>
  </si>
  <si>
    <t xml:space="preserve">    Bill 600: Civil Works</t>
  </si>
  <si>
    <t xml:space="preserve">    Bill 700: Finishes </t>
  </si>
  <si>
    <t xml:space="preserve">    Bill 800: Mechanical and Electrical Installations</t>
  </si>
  <si>
    <t xml:space="preserve">    Bill 900: Special Constructions</t>
  </si>
  <si>
    <t xml:space="preserve">    Bill 1000: Road Construction </t>
  </si>
  <si>
    <t xml:space="preserve">    Bill 1100: Engineering and Testing </t>
  </si>
  <si>
    <t xml:space="preserve">    Bill 1200:Vaja Psavela 900 mm pipe &amp; PS relocation</t>
  </si>
  <si>
    <t>POTI.</t>
  </si>
  <si>
    <t xml:space="preserve">    Bill 110: General Items</t>
  </si>
  <si>
    <t xml:space="preserve">    Bill 210: Setting Out and Site Clearance</t>
  </si>
  <si>
    <t xml:space="preserve">    Bill 310: Earthworks</t>
  </si>
  <si>
    <t xml:space="preserve">    Bill 410: Pipes</t>
  </si>
  <si>
    <t xml:space="preserve">    Bill 510: Demolition Works </t>
  </si>
  <si>
    <t xml:space="preserve">    Bill 610: Civil Works</t>
  </si>
  <si>
    <t xml:space="preserve">    Bill 710: Finishes </t>
  </si>
  <si>
    <t xml:space="preserve">    Bill 810: Mechanical and Electrical Installations</t>
  </si>
  <si>
    <t xml:space="preserve">    Bill 910: Special Constructions</t>
  </si>
  <si>
    <t xml:space="preserve">    Bill 1010: Road Construction </t>
  </si>
  <si>
    <t xml:space="preserve">    Bill 1101: Engineering and Testing </t>
  </si>
  <si>
    <t>ANAKLIA.</t>
  </si>
  <si>
    <t xml:space="preserve">    Bill 120: General Items</t>
  </si>
  <si>
    <t xml:space="preserve">    Bill 220: Setting Out and Site Clearance</t>
  </si>
  <si>
    <t xml:space="preserve">    Bill 320: Earthworks</t>
  </si>
  <si>
    <t xml:space="preserve">    Bill 420: Pipes</t>
  </si>
  <si>
    <t xml:space="preserve">    Bill 620: Civil Works</t>
  </si>
  <si>
    <t xml:space="preserve">    Bill 720: Finishes </t>
  </si>
  <si>
    <t xml:space="preserve">    Bill 820: Mechanical and Electrical Installations</t>
  </si>
  <si>
    <t xml:space="preserve">    Bill 920: Special Constructions</t>
  </si>
  <si>
    <t xml:space="preserve">    Bill 1020: Road Construction </t>
  </si>
  <si>
    <t xml:space="preserve">    Bill 1120: Engineering and Testing </t>
  </si>
  <si>
    <t xml:space="preserve">    Bill 1220: Wells: Drilling + Installation</t>
  </si>
  <si>
    <t xml:space="preserve">    Bill 1320-ANA, Earth and pipe works (Wellfield)</t>
  </si>
  <si>
    <t xml:space="preserve">    Bill 1420, ANA, Construction works (Wellfield)</t>
  </si>
  <si>
    <t xml:space="preserve">    Bill 1520, ANA, Well field Mechanical Installations</t>
  </si>
  <si>
    <t xml:space="preserve">    Bill 1200: Miscellaneous</t>
  </si>
  <si>
    <t xml:space="preserve">    Bill 1300: Dayworks</t>
  </si>
  <si>
    <t xml:space="preserve">    Bill 1400: WTP Poti</t>
  </si>
  <si>
    <t xml:space="preserve">    TOTAL CONTRACT PRICE (excl. Taxes)</t>
  </si>
  <si>
    <t xml:space="preserve">3. Approved Variation Orders </t>
  </si>
  <si>
    <t>4. Extra for Changes of Cost</t>
  </si>
  <si>
    <t xml:space="preserve">   Total Executed Works</t>
  </si>
  <si>
    <t>5. Total Value of the Works (excl taxes)</t>
  </si>
  <si>
    <t>6. Total Value of the Works (incl. taxes)</t>
  </si>
  <si>
    <t xml:space="preserve">7 Contract Deductions                     </t>
  </si>
  <si>
    <t xml:space="preserve">    Recovery of Advance payment  (10% of contract value)</t>
  </si>
  <si>
    <t xml:space="preserve">    Retention (25%)</t>
  </si>
  <si>
    <t xml:space="preserve">    Retention refund</t>
  </si>
  <si>
    <t xml:space="preserve">    Other items: deduction of rents of Tskaro#1 and Koguashvili Affected People (for period 1-15 June 2015, see Compensation AP sheet)</t>
  </si>
  <si>
    <t xml:space="preserve">8. Total Contract Deductions                     </t>
  </si>
  <si>
    <t>9. IPC AMOUNT less deductions</t>
  </si>
  <si>
    <t>10. LIQUIDATED DAMAGES</t>
  </si>
  <si>
    <t xml:space="preserve">    Calculated as % of Contract Price for delays</t>
  </si>
  <si>
    <t>11. IPC AMOUNT less deductions less liquidated damages</t>
  </si>
  <si>
    <t>12. AMOUNT PAYABLE TO CONTRACTOR (incl. taxes)</t>
  </si>
  <si>
    <t>Correspondent Bank Details:</t>
  </si>
  <si>
    <t>BANK CODE: TBCBGE22</t>
  </si>
  <si>
    <t xml:space="preserve"> Account number: GE24TB7604336080100002</t>
  </si>
  <si>
    <t xml:space="preserve">
Andre Gaio
</t>
  </si>
  <si>
    <t>ზედნადები ხარჯი</t>
  </si>
  <si>
    <t>გეგმიური დაგროვება</t>
  </si>
  <si>
    <t>გაუთვალისწინებელი ხარჯი</t>
  </si>
  <si>
    <t>დღგ</t>
  </si>
  <si>
    <t>სხვა საჯარიმო დაქვითვა</t>
  </si>
  <si>
    <t>დასახელება</t>
  </si>
  <si>
    <t>ტექნიკური დირექტორი</t>
  </si>
  <si>
    <t>ზურაბ ალფაიძე</t>
  </si>
  <si>
    <t>პროექტის კოდი:</t>
  </si>
  <si>
    <t>-</t>
  </si>
  <si>
    <t>N</t>
  </si>
  <si>
    <t xml:space="preserve">სამუშაოს დასახელება </t>
  </si>
  <si>
    <t>განზ. 
ერთ.</t>
  </si>
  <si>
    <t>რდნ</t>
  </si>
  <si>
    <t xml:space="preserve">  ჯამი</t>
  </si>
  <si>
    <t>ასფალტის საფარის მოხსნა სისქით 10 სმ სანგრევი ჩაქუჩით</t>
  </si>
  <si>
    <t>მ3</t>
  </si>
  <si>
    <t>დამტვრეული ასფალტის  ნატეხების დატვირთვა ავ/თვითმც. და გატანა   23 კმ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</si>
  <si>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</si>
  <si>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</si>
  <si>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დამუშავებული გრუნტის გატანა ავტოთვითმცლელებით 23 კმ</t>
  </si>
  <si>
    <t>ტ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</si>
  <si>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</si>
  <si>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მ2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</si>
  <si>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</si>
  <si>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ქვიშის საფარის მოწყობა დატკეპნით მილის ქვეშ 10სმ, ზემოდან  20 სმ</t>
  </si>
  <si>
    <t>თხრილის შევსება ბალასტით (0-120 მმ) მექანიზმის გამოყენებით, 50 მ-ზე გადაადგილებით, დატკეპნა</t>
  </si>
  <si>
    <t>თხრილის შევსება ღორღით (5-40 მმ) მექანიზმის გამოყენებით, 50 მ-ზე გადაადგილებით, დატკეპნა</t>
  </si>
  <si>
    <t xml:space="preserve">ჭების ქვეშ  ქვიშა-ხრეშოვანი ბალიშის მოწყობა 10 სმ </t>
  </si>
  <si>
    <t>კანალიზაციის პოლიეთილენის გოფრირებული მილის შეძენა, მოწყობა  და გამოცდა SN8 ჰერმეტულობაზე  d=400მმ</t>
  </si>
  <si>
    <t>მ</t>
  </si>
  <si>
    <t>კანალიზაციის პოლიეთილენის გოფრირებული მილის შეძენა, მოწყობა  და გამოცდა SN8 ჰერმეტულობაზე  d=300 მმ</t>
  </si>
  <si>
    <t>კანალიზაციის პოლიეთილენის გოფრირებული მილის შეძენა, მოწყობა  და გამოცდა SN8 ჰერმეტულობაზე  d=200 მმ</t>
  </si>
  <si>
    <t>კანალიზაციის პოლიეთილენის გოფრირებული მილის შეძენა, მოწყობა  და გამოცდა SN8 ჰერმეტულობაზე  d=150 მმ</t>
  </si>
  <si>
    <t>რ/ბ ანაკრები წრიული ჭის   (9 ცალი) შეძენა -  მონტაჟი, რკბ. ძირის ფილით, რკბ რგოლებით, რკბ. გადახურვის ფილა თუჯის ხუფით D=1.0 მ H-2.8 მ  გამირების მოწყობის გათვალისწინებით</t>
  </si>
  <si>
    <t>ც</t>
  </si>
  <si>
    <t>რკინა-ბეტონის რგოლი D=1000მმ/1მ</t>
  </si>
  <si>
    <t>რკინა-ბეტონის ძირის ფილა D=1200მმ</t>
  </si>
  <si>
    <t>რ/ბ ანაკრები წრიული ჭის  (14 ცალი) შეძენა -  მონტაჟი, რკბ. ძირის ფილით, რკბ რგოლებით, რკბ. გადახურვის ფილა თუჯის ხუფით D=1.5 მ H-3.3 მ  გამირების მოწყობის გათვალისწინებით</t>
  </si>
  <si>
    <t>რკინა-ბეტონის რგოლი D=1500მმ/1მ</t>
  </si>
  <si>
    <t>რკინა-ბეტონის რგოლი D=1500მმ/0.5მ</t>
  </si>
  <si>
    <t>რკინა-ბეტონის ძირის ფილა D=1700მმ</t>
  </si>
  <si>
    <t>ჭის გარე ზედაპირის ჰიდროიზოლაცია ბითუმის მასტიკით 2 ფენად</t>
  </si>
  <si>
    <t xml:space="preserve">ჭის ღარის მოწყობა B-25 მარკის ბეტონით </t>
  </si>
  <si>
    <t>არსებულ კანალიზაციის ჭაში შეჭრა</t>
  </si>
  <si>
    <t>ადგ.</t>
  </si>
  <si>
    <t>მიწის თხრილის კედლების გამაგრება ხის ფარებით</t>
  </si>
  <si>
    <t>მ²</t>
  </si>
  <si>
    <t>სულ პირდაპირი ხარჯი</t>
  </si>
  <si>
    <t>სულ ხარჯთაღრიცხვით</t>
  </si>
  <si>
    <t>ასფალტის საფარის მოხსნა სისქით 15 სმ სანგრევი ჩაქუჩით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</si>
  <si>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</si>
  <si>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</si>
  <si>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</si>
  <si>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</si>
  <si>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
ფასი</t>
  </si>
  <si>
    <t>(ლარი)</t>
  </si>
  <si>
    <t xml:space="preserve">სიგრძე </t>
  </si>
  <si>
    <t xml:space="preserve">სიგანე </t>
  </si>
  <si>
    <t>სისქე</t>
  </si>
  <si>
    <t>საერთო მოცულობა</t>
  </si>
  <si>
    <t>ასფალტის საფარის მოხსნა სისქით 12 სმ სანგრევი ჩაქუჩით</t>
  </si>
  <si>
    <t>1-1-ახ.</t>
  </si>
  <si>
    <t>დამატებითი სამუშაოს საჭიროების აღწერა:</t>
  </si>
  <si>
    <t>....................................................</t>
  </si>
  <si>
    <t xml:space="preserve">დღგ:    </t>
  </si>
  <si>
    <t xml:space="preserve"> ღირებულება დღგ-ს გარეშე</t>
  </si>
  <si>
    <t>ჯამი (ლარი)</t>
  </si>
  <si>
    <t xml:space="preserve">  ჯამი (ლარი)</t>
  </si>
  <si>
    <t>ხელშეკრულების ნომერი:</t>
  </si>
  <si>
    <t>პროექტის დასახელება:</t>
  </si>
  <si>
    <t>დოკუმენტის თარიღი:</t>
  </si>
  <si>
    <t>დაწყების თარიღი:</t>
  </si>
  <si>
    <t>დასრულების თარიღი:</t>
  </si>
  <si>
    <t>სამუშაო დღეები:</t>
  </si>
  <si>
    <t>სახელშეკრულებო ღირებულება, ლარი</t>
  </si>
  <si>
    <t>ცვლილების ღირებულება, ლარი</t>
  </si>
  <si>
    <t>საბოლოო/ფაქტიური ღირებულება, ლარი</t>
  </si>
  <si>
    <t>სულ:</t>
  </si>
  <si>
    <t>ერეკლე სუხიტაშვილი</t>
  </si>
  <si>
    <t>გენერალური დირექტორი</t>
  </si>
  <si>
    <t>(სახელი და გვარი)</t>
  </si>
  <si>
    <t>ღირებულება დღგ-ს გარეშე</t>
  </si>
  <si>
    <t>ობიექტის ზედამხედველი</t>
  </si>
  <si>
    <t>დოკუმენტის დასახელება:</t>
  </si>
  <si>
    <t>საბოლოო ფორმა N3</t>
  </si>
  <si>
    <t>საბოლოო ფორმა N2</t>
  </si>
  <si>
    <t>რა-ობა</t>
  </si>
  <si>
    <t>ზედამხედველობის დეპარტამენტის უფროსი</t>
  </si>
  <si>
    <t>სარეაბილიტაციო ზედამხედველობის სამსახურის უფროსი</t>
  </si>
  <si>
    <t>ჯარიმა ვადაგადაცილებაზე</t>
  </si>
  <si>
    <t>წინა შესრულება, ლარი</t>
  </si>
  <si>
    <t>ნაზარდი ჯამი, ლარი</t>
  </si>
  <si>
    <t>მიმდინარე შესრულება, ლარი</t>
  </si>
  <si>
    <t>სახელშეკრულებო ხარჯთაღრიცხვა, ლარი</t>
  </si>
  <si>
    <t>ცვლილების ხარჯთაღრიცხვა, ლარი</t>
  </si>
  <si>
    <t>საბოლოო ხარჯთაღრიცხვა, ლარი</t>
  </si>
  <si>
    <t>პროგრესი:</t>
  </si>
  <si>
    <t>შესრულება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</si>
  <si>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</si>
  <si>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</si>
  <si>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ხარჯთაღრიცხვა ცვლილების შემდეგ, ლარი</t>
  </si>
  <si>
    <t>სხვაობა, ლარი</t>
  </si>
  <si>
    <t>ცვლილების აქტი</t>
  </si>
  <si>
    <t>ახალი აითემის ერთეულის ფასის შეთანხმების ფორმა რესურსული ხარჯთაღრიცხვით:</t>
  </si>
  <si>
    <t>ახალი აითემის სამუშაო მოცულობების გაანგარიშება:</t>
  </si>
  <si>
    <t>ნახაზი ან სხვა დოკუმენტი, რომელიც ადასტურებს ამ მონაცემებს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</si>
</sst>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%"/>
    <numFmt numFmtId="165" formatCode="_-* #,##0.00_р_._-;\-* #,##0.00_р_._-;_-* &quot;-&quot;??_р_._-;_-@_-"/>
    <numFmt numFmtId="166" formatCode="0.0000%"/>
    <numFmt numFmtId="167" formatCode="#,##0.00;[Red]#,##0.00"/>
    <numFmt numFmtId="168" formatCode="_(#,##0.00_);_(\(#,##0.00\);_(\ \-\ _);_(@_)"/>
    <numFmt numFmtId="169" formatCode="_(#,##0_);_(\(#,##0\);_(\ \-\ 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theme="1"/>
      <name val="Sagoe ui 10"/>
    </font>
    <font>
      <b/>
      <sz val="10"/>
      <name val="Sagoe ui 10"/>
    </font>
    <font>
      <b/>
      <sz val="10"/>
      <name val="Sagoe UI"/>
    </font>
    <font>
      <sz val="10"/>
      <name val="Sagoe UI"/>
    </font>
    <font>
      <vertAlign val="superscript"/>
      <sz val="10"/>
      <name val="Segoe UI"/>
      <family val="2"/>
    </font>
    <font>
      <b/>
      <sz val="10"/>
      <color rgb="FFFF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2" fillId="0" borderId="0"/>
    <xf numFmtId="0" fontId="2" fillId="0" borderId="0"/>
    <xf numFmtId="165" fontId="2" fillId="0" borderId="0" applyFont="0" applyFill="0" applyBorder="0" applyAlignment="0" applyProtection="0"/>
    <xf numFmtId="0" fontId="1" fillId="7" borderId="0" applyNumberFormat="0" applyBorder="0" applyAlignment="0" applyProtection="0"/>
    <xf numFmtId="0" fontId="17" fillId="0" borderId="0"/>
    <xf numFmtId="165" fontId="3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262">
    <xf numFmtId="0" fontId="0" fillId="0" borderId="0" xfId="0"/>
    <xf numFmtId="15" fontId="4" fillId="3" borderId="0" xfId="0" applyNumberFormat="1" applyFont="1" applyFill="1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 applyProtection="1">
      <alignment horizontal="right"/>
      <protection locked="0"/>
    </xf>
    <xf numFmtId="0" fontId="6" fillId="0" borderId="0" xfId="0" applyFont="1"/>
    <xf numFmtId="0" fontId="14" fillId="0" borderId="0" xfId="0" applyFont="1" applyAlignment="1">
      <alignment horizontal="left"/>
    </xf>
    <xf numFmtId="0" fontId="7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43" fontId="17" fillId="0" borderId="0" xfId="9" applyNumberFormat="1" applyFont="1"/>
    <xf numFmtId="0" fontId="7" fillId="3" borderId="9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8" fillId="3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18" fillId="3" borderId="8" xfId="0" applyFont="1" applyFill="1" applyBorder="1" applyAlignment="1">
      <alignment horizontal="center"/>
    </xf>
    <xf numFmtId="0" fontId="19" fillId="0" borderId="14" xfId="0" applyFont="1" applyBorder="1"/>
    <xf numFmtId="4" fontId="20" fillId="3" borderId="14" xfId="0" applyNumberFormat="1" applyFont="1" applyFill="1" applyBorder="1" applyAlignment="1">
      <alignment horizontal="center"/>
    </xf>
    <xf numFmtId="0" fontId="20" fillId="3" borderId="12" xfId="0" applyFont="1" applyFill="1" applyBorder="1"/>
    <xf numFmtId="0" fontId="20" fillId="3" borderId="14" xfId="0" applyFont="1" applyFill="1" applyBorder="1"/>
    <xf numFmtId="0" fontId="19" fillId="0" borderId="7" xfId="0" applyFont="1" applyBorder="1"/>
    <xf numFmtId="0" fontId="20" fillId="0" borderId="7" xfId="0" applyFont="1" applyBorder="1"/>
    <xf numFmtId="4" fontId="21" fillId="3" borderId="14" xfId="0" applyNumberFormat="1" applyFont="1" applyFill="1" applyBorder="1" applyAlignment="1">
      <alignment horizontal="center"/>
    </xf>
    <xf numFmtId="4" fontId="1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1" fillId="3" borderId="7" xfId="0" applyFont="1" applyFill="1" applyBorder="1"/>
    <xf numFmtId="4" fontId="13" fillId="4" borderId="0" xfId="0" applyNumberFormat="1" applyFont="1" applyFill="1" applyAlignment="1">
      <alignment horizontal="center" vertical="center"/>
    </xf>
    <xf numFmtId="0" fontId="7" fillId="3" borderId="7" xfId="0" applyFont="1" applyFill="1" applyBorder="1"/>
    <xf numFmtId="0" fontId="9" fillId="3" borderId="14" xfId="0" applyFont="1" applyFill="1" applyBorder="1"/>
    <xf numFmtId="0" fontId="22" fillId="3" borderId="7" xfId="0" applyFont="1" applyFill="1" applyBorder="1"/>
    <xf numFmtId="4" fontId="13" fillId="6" borderId="0" xfId="0" applyNumberFormat="1" applyFont="1" applyFill="1" applyAlignment="1">
      <alignment horizontal="center" vertical="center"/>
    </xf>
    <xf numFmtId="4" fontId="0" fillId="0" borderId="0" xfId="0" applyNumberFormat="1"/>
    <xf numFmtId="4" fontId="23" fillId="3" borderId="14" xfId="0" applyNumberFormat="1" applyFont="1" applyFill="1" applyBorder="1" applyAlignment="1">
      <alignment horizontal="center"/>
    </xf>
    <xf numFmtId="4" fontId="24" fillId="0" borderId="0" xfId="0" applyNumberFormat="1" applyFont="1" applyAlignment="1">
      <alignment horizontal="center" vertical="center"/>
    </xf>
    <xf numFmtId="0" fontId="7" fillId="3" borderId="11" xfId="0" applyFont="1" applyFill="1" applyBorder="1" applyAlignment="1">
      <alignment horizontal="left"/>
    </xf>
    <xf numFmtId="0" fontId="21" fillId="3" borderId="7" xfId="0" applyFont="1" applyFill="1" applyBorder="1" applyAlignment="1">
      <alignment wrapText="1"/>
    </xf>
    <xf numFmtId="0" fontId="7" fillId="3" borderId="14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 wrapText="1"/>
    </xf>
    <xf numFmtId="4" fontId="25" fillId="3" borderId="11" xfId="0" applyNumberFormat="1" applyFont="1" applyFill="1" applyBorder="1" applyAlignment="1">
      <alignment horizontal="center"/>
    </xf>
    <xf numFmtId="4" fontId="25" fillId="3" borderId="14" xfId="0" applyNumberFormat="1" applyFont="1" applyFill="1" applyBorder="1" applyAlignment="1">
      <alignment horizontal="center"/>
    </xf>
    <xf numFmtId="4" fontId="7" fillId="3" borderId="14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4" fontId="6" fillId="3" borderId="11" xfId="0" applyNumberFormat="1" applyFont="1" applyFill="1" applyBorder="1" applyAlignment="1">
      <alignment horizontal="center"/>
    </xf>
    <xf numFmtId="4" fontId="6" fillId="3" borderId="14" xfId="0" applyNumberFormat="1" applyFont="1" applyFill="1" applyBorder="1" applyAlignment="1">
      <alignment horizontal="center"/>
    </xf>
    <xf numFmtId="4" fontId="6" fillId="4" borderId="11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0" fontId="7" fillId="3" borderId="13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 wrapText="1"/>
    </xf>
    <xf numFmtId="10" fontId="6" fillId="3" borderId="0" xfId="1" applyNumberFormat="1" applyFont="1" applyFill="1" applyAlignment="1">
      <alignment horizontal="center"/>
    </xf>
    <xf numFmtId="0" fontId="26" fillId="0" borderId="0" xfId="0" applyFont="1"/>
    <xf numFmtId="10" fontId="26" fillId="0" borderId="0" xfId="1" applyNumberFormat="1" applyFont="1"/>
    <xf numFmtId="166" fontId="25" fillId="0" borderId="0" xfId="0" applyNumberFormat="1" applyFont="1" applyAlignment="1">
      <alignment horizontal="center"/>
    </xf>
    <xf numFmtId="4" fontId="25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43" fontId="0" fillId="0" borderId="0" xfId="0" applyNumberFormat="1" applyAlignment="1">
      <alignment horizontal="right"/>
    </xf>
    <xf numFmtId="10" fontId="6" fillId="0" borderId="0" xfId="1" applyNumberFormat="1" applyFont="1"/>
    <xf numFmtId="10" fontId="6" fillId="0" borderId="0" xfId="0" applyNumberFormat="1" applyFont="1" applyAlignment="1">
      <alignment horizontal="left"/>
    </xf>
    <xf numFmtId="4" fontId="6" fillId="3" borderId="0" xfId="0" applyNumberFormat="1" applyFont="1" applyFill="1"/>
    <xf numFmtId="0" fontId="4" fillId="0" borderId="0" xfId="0" applyFont="1" applyAlignment="1">
      <alignment wrapText="1"/>
    </xf>
    <xf numFmtId="0" fontId="2" fillId="3" borderId="0" xfId="0" applyFont="1" applyFill="1"/>
    <xf numFmtId="0" fontId="4" fillId="3" borderId="0" xfId="0" applyFont="1" applyFill="1" applyAlignment="1"/>
    <xf numFmtId="0" fontId="6" fillId="3" borderId="0" xfId="0" applyFont="1" applyFill="1"/>
    <xf numFmtId="0" fontId="4" fillId="3" borderId="0" xfId="0" applyFont="1" applyFill="1" applyAlignment="1">
      <alignment horizontal="left"/>
    </xf>
    <xf numFmtId="0" fontId="0" fillId="0" borderId="0" xfId="0" applyBorder="1"/>
    <xf numFmtId="0" fontId="13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0" fillId="5" borderId="0" xfId="0" applyFill="1"/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wrapText="1"/>
    </xf>
    <xf numFmtId="4" fontId="0" fillId="0" borderId="0" xfId="0" applyNumberFormat="1" applyBorder="1"/>
    <xf numFmtId="0" fontId="29" fillId="0" borderId="0" xfId="0" applyFont="1" applyAlignment="1">
      <alignment horizontal="center"/>
    </xf>
    <xf numFmtId="4" fontId="29" fillId="0" borderId="0" xfId="0" applyNumberFormat="1" applyFont="1" applyAlignment="1">
      <alignment horizontal="center"/>
    </xf>
    <xf numFmtId="4" fontId="31" fillId="0" borderId="0" xfId="0" applyNumberFormat="1" applyFont="1" applyFill="1" applyAlignment="1">
      <alignment vertical="center" wrapText="1"/>
    </xf>
    <xf numFmtId="4" fontId="31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Alignment="1">
      <alignment vertical="center" wrapText="1"/>
    </xf>
    <xf numFmtId="4" fontId="31" fillId="0" borderId="0" xfId="0" applyNumberFormat="1" applyFont="1" applyAlignment="1">
      <alignment horizontal="center" vertical="center" wrapText="1"/>
    </xf>
    <xf numFmtId="4" fontId="31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 wrapText="1"/>
    </xf>
    <xf numFmtId="4" fontId="32" fillId="0" borderId="0" xfId="0" applyNumberFormat="1" applyFont="1" applyAlignment="1">
      <alignment horizontal="center" vertical="center" wrapText="1"/>
    </xf>
    <xf numFmtId="4" fontId="32" fillId="0" borderId="0" xfId="0" applyNumberFormat="1" applyFont="1" applyAlignment="1">
      <alignment horizontal="left" vertical="center" wrapText="1"/>
    </xf>
    <xf numFmtId="4" fontId="31" fillId="0" borderId="0" xfId="0" applyNumberFormat="1" applyFont="1" applyFill="1" applyAlignment="1">
      <alignment vertical="center"/>
    </xf>
    <xf numFmtId="4" fontId="31" fillId="0" borderId="0" xfId="0" applyNumberFormat="1" applyFont="1" applyFill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4" fontId="31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horizontal="center" vertical="center"/>
    </xf>
    <xf numFmtId="14" fontId="34" fillId="0" borderId="0" xfId="0" applyNumberFormat="1" applyFont="1" applyBorder="1" applyAlignment="1">
      <alignment vertical="center"/>
    </xf>
    <xf numFmtId="14" fontId="31" fillId="0" borderId="0" xfId="0" applyNumberFormat="1" applyFont="1" applyAlignment="1"/>
    <xf numFmtId="0" fontId="34" fillId="0" borderId="0" xfId="0" applyNumberFormat="1" applyFont="1" applyBorder="1" applyAlignment="1">
      <alignment vertical="center"/>
    </xf>
    <xf numFmtId="4" fontId="31" fillId="0" borderId="0" xfId="0" applyNumberFormat="1" applyFont="1"/>
    <xf numFmtId="9" fontId="31" fillId="0" borderId="0" xfId="1" applyFont="1"/>
    <xf numFmtId="3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wrapText="1"/>
    </xf>
    <xf numFmtId="4" fontId="31" fillId="0" borderId="0" xfId="0" applyNumberFormat="1" applyFont="1" applyAlignment="1">
      <alignment horizontal="center"/>
    </xf>
    <xf numFmtId="3" fontId="31" fillId="0" borderId="1" xfId="0" applyNumberFormat="1" applyFont="1" applyBorder="1" applyAlignment="1">
      <alignment horizontal="center"/>
    </xf>
    <xf numFmtId="4" fontId="31" fillId="0" borderId="1" xfId="0" applyNumberFormat="1" applyFont="1" applyBorder="1" applyAlignment="1">
      <alignment wrapText="1"/>
    </xf>
    <xf numFmtId="4" fontId="31" fillId="0" borderId="1" xfId="0" applyNumberFormat="1" applyFont="1" applyBorder="1" applyAlignment="1">
      <alignment horizontal="center"/>
    </xf>
    <xf numFmtId="4" fontId="32" fillId="0" borderId="1" xfId="0" applyNumberFormat="1" applyFont="1" applyBorder="1" applyAlignment="1">
      <alignment wrapText="1"/>
    </xf>
    <xf numFmtId="4" fontId="32" fillId="0" borderId="1" xfId="1" applyNumberFormat="1" applyFont="1" applyBorder="1" applyAlignment="1">
      <alignment horizontal="center"/>
    </xf>
    <xf numFmtId="9" fontId="32" fillId="0" borderId="1" xfId="1" applyNumberFormat="1" applyFont="1" applyBorder="1" applyAlignment="1">
      <alignment horizontal="center"/>
    </xf>
    <xf numFmtId="4" fontId="32" fillId="0" borderId="1" xfId="0" applyNumberFormat="1" applyFont="1" applyBorder="1" applyAlignment="1">
      <alignment horizontal="right"/>
    </xf>
    <xf numFmtId="4" fontId="31" fillId="0" borderId="0" xfId="0" applyNumberFormat="1" applyFont="1" applyFill="1" applyAlignment="1">
      <alignment horizontal="left" vertical="center"/>
    </xf>
    <xf numFmtId="4" fontId="31" fillId="0" borderId="0" xfId="0" applyNumberFormat="1" applyFont="1" applyAlignment="1">
      <alignment horizontal="left" vertical="center"/>
    </xf>
    <xf numFmtId="4" fontId="31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Border="1" applyAlignment="1">
      <alignment horizontal="left" vertical="center"/>
    </xf>
    <xf numFmtId="4" fontId="35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Border="1" applyAlignment="1">
      <alignment horizontal="left" vertical="center"/>
    </xf>
    <xf numFmtId="4" fontId="35" fillId="0" borderId="16" xfId="0" applyNumberFormat="1" applyFont="1" applyFill="1" applyBorder="1" applyAlignment="1">
      <alignment vertical="center"/>
    </xf>
    <xf numFmtId="168" fontId="32" fillId="0" borderId="16" xfId="0" applyNumberFormat="1" applyFont="1" applyFill="1" applyBorder="1" applyAlignment="1">
      <alignment horizontal="right" vertical="center"/>
    </xf>
    <xf numFmtId="4" fontId="32" fillId="0" borderId="0" xfId="0" applyNumberFormat="1" applyFont="1" applyAlignment="1">
      <alignment horizontal="left" vertical="center"/>
    </xf>
    <xf numFmtId="10" fontId="31" fillId="0" borderId="0" xfId="0" applyNumberFormat="1" applyFont="1" applyAlignment="1">
      <alignment horizontal="left" vertical="center"/>
    </xf>
    <xf numFmtId="4" fontId="33" fillId="0" borderId="0" xfId="0" applyNumberFormat="1" applyFont="1" applyAlignment="1">
      <alignment horizontal="left" vertical="center"/>
    </xf>
    <xf numFmtId="4" fontId="35" fillId="0" borderId="1" xfId="5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wrapText="1"/>
    </xf>
    <xf numFmtId="4" fontId="31" fillId="0" borderId="1" xfId="0" applyNumberFormat="1" applyFont="1" applyFill="1" applyBorder="1" applyAlignment="1">
      <alignment horizontal="center"/>
    </xf>
    <xf numFmtId="4" fontId="35" fillId="0" borderId="1" xfId="5" applyNumberFormat="1" applyFont="1" applyFill="1" applyBorder="1" applyAlignment="1">
      <alignment horizontal="center" vertical="center" wrapText="1"/>
    </xf>
    <xf numFmtId="4" fontId="36" fillId="0" borderId="0" xfId="0" applyNumberFormat="1" applyFont="1"/>
    <xf numFmtId="4" fontId="36" fillId="0" borderId="0" xfId="0" applyNumberFormat="1" applyFont="1" applyAlignment="1">
      <alignment horizontal="center"/>
    </xf>
    <xf numFmtId="9" fontId="36" fillId="0" borderId="0" xfId="1" applyFont="1"/>
    <xf numFmtId="4" fontId="36" fillId="0" borderId="0" xfId="0" applyNumberFormat="1" applyFont="1" applyFill="1"/>
    <xf numFmtId="4" fontId="32" fillId="0" borderId="0" xfId="0" applyNumberFormat="1" applyFont="1" applyFill="1" applyAlignment="1">
      <alignment vertical="center" wrapText="1"/>
    </xf>
    <xf numFmtId="3" fontId="39" fillId="0" borderId="1" xfId="0" applyNumberFormat="1" applyFont="1" applyFill="1" applyBorder="1" applyAlignment="1" applyProtection="1">
      <alignment horizontal="center"/>
    </xf>
    <xf numFmtId="0" fontId="39" fillId="0" borderId="1" xfId="10" applyFont="1" applyFill="1" applyBorder="1" applyAlignment="1" applyProtection="1">
      <alignment vertical="center" wrapText="1"/>
      <protection locked="0"/>
    </xf>
    <xf numFmtId="0" fontId="39" fillId="0" borderId="1" xfId="10" applyFont="1" applyFill="1" applyBorder="1" applyAlignment="1" applyProtection="1">
      <alignment horizontal="center" vertical="center" wrapText="1"/>
      <protection locked="0"/>
    </xf>
    <xf numFmtId="3" fontId="39" fillId="3" borderId="1" xfId="0" applyNumberFormat="1" applyFont="1" applyFill="1" applyBorder="1" applyAlignment="1" applyProtection="1">
      <alignment horizontal="center"/>
    </xf>
    <xf numFmtId="9" fontId="38" fillId="0" borderId="1" xfId="10" applyNumberFormat="1" applyFont="1" applyFill="1" applyBorder="1" applyAlignment="1" applyProtection="1">
      <alignment horizontal="center" vertical="center" wrapText="1"/>
      <protection locked="0"/>
    </xf>
    <xf numFmtId="43" fontId="31" fillId="0" borderId="1" xfId="14" applyFont="1" applyFill="1" applyBorder="1" applyAlignment="1">
      <alignment horizontal="right"/>
    </xf>
    <xf numFmtId="43" fontId="31" fillId="0" borderId="1" xfId="14" applyFont="1" applyBorder="1" applyAlignment="1">
      <alignment horizontal="right"/>
    </xf>
    <xf numFmtId="43" fontId="32" fillId="0" borderId="1" xfId="14" applyFont="1" applyBorder="1" applyAlignment="1">
      <alignment horizontal="right"/>
    </xf>
    <xf numFmtId="4" fontId="32" fillId="0" borderId="0" xfId="0" applyNumberFormat="1" applyFont="1" applyFill="1" applyAlignment="1">
      <alignment horizontal="left" vertical="center"/>
    </xf>
    <xf numFmtId="10" fontId="35" fillId="0" borderId="1" xfId="5" applyNumberFormat="1" applyFont="1" applyFill="1" applyBorder="1" applyAlignment="1">
      <alignment horizontal="center" vertical="center" wrapText="1"/>
    </xf>
    <xf numFmtId="3" fontId="35" fillId="0" borderId="1" xfId="5" applyNumberFormat="1" applyFont="1" applyFill="1" applyBorder="1" applyAlignment="1">
      <alignment horizontal="center" vertical="center" wrapText="1"/>
    </xf>
    <xf numFmtId="4" fontId="35" fillId="0" borderId="1" xfId="5" applyNumberFormat="1" applyFont="1" applyFill="1" applyBorder="1" applyAlignment="1">
      <alignment horizontal="center" vertical="center" wrapText="1"/>
    </xf>
    <xf numFmtId="4" fontId="35" fillId="0" borderId="1" xfId="11" applyNumberFormat="1" applyFont="1" applyFill="1" applyBorder="1" applyAlignment="1">
      <alignment horizontal="center" vertical="center" wrapText="1"/>
    </xf>
    <xf numFmtId="4" fontId="37" fillId="0" borderId="2" xfId="2" applyNumberFormat="1" applyFont="1" applyFill="1" applyBorder="1" applyAlignment="1" applyProtection="1">
      <alignment horizontal="center" vertical="top" wrapText="1"/>
    </xf>
    <xf numFmtId="4" fontId="37" fillId="0" borderId="3" xfId="2" applyNumberFormat="1" applyFont="1" applyFill="1" applyBorder="1" applyAlignment="1" applyProtection="1">
      <alignment horizontal="center" vertical="top" wrapText="1"/>
    </xf>
    <xf numFmtId="0" fontId="16" fillId="0" borderId="10" xfId="0" applyFont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center"/>
    </xf>
    <xf numFmtId="0" fontId="6" fillId="3" borderId="0" xfId="0" applyFont="1" applyFill="1"/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32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 wrapText="1"/>
    </xf>
    <xf numFmtId="169" fontId="32" fillId="0" borderId="1" xfId="0" applyNumberFormat="1" applyFont="1" applyBorder="1" applyAlignment="1">
      <alignment horizontal="right"/>
    </xf>
    <xf numFmtId="4" fontId="32" fillId="0" borderId="0" xfId="0" applyNumberFormat="1" applyFont="1" applyAlignment="1">
      <alignment vertical="center"/>
    </xf>
    <xf numFmtId="4" fontId="32" fillId="0" borderId="0" xfId="0" applyNumberFormat="1" applyFont="1" applyAlignment="1">
      <alignment horizontal="center" vertical="center"/>
    </xf>
    <xf numFmtId="168" fontId="32" fillId="0" borderId="4" xfId="0" applyNumberFormat="1" applyFont="1" applyFill="1" applyBorder="1" applyAlignment="1">
      <alignment horizontal="right" vertical="center"/>
    </xf>
    <xf numFmtId="4" fontId="32" fillId="0" borderId="15" xfId="0" applyNumberFormat="1" applyFont="1" applyBorder="1" applyAlignment="1">
      <alignment horizontal="center" vertical="center" wrapText="1"/>
    </xf>
    <xf numFmtId="4" fontId="34" fillId="0" borderId="0" xfId="0" applyNumberFormat="1" applyFont="1" applyBorder="1" applyAlignment="1">
      <alignment vertical="center"/>
    </xf>
    <xf numFmtId="9" fontId="34" fillId="0" borderId="0" xfId="0" applyNumberFormat="1" applyFont="1" applyBorder="1" applyAlignment="1">
      <alignment horizontal="center" vertical="center"/>
    </xf>
    <xf numFmtId="4" fontId="35" fillId="0" borderId="4" xfId="0" applyNumberFormat="1" applyFont="1" applyBorder="1" applyAlignment="1">
      <alignment vertical="center"/>
    </xf>
    <xf numFmtId="4" fontId="35" fillId="0" borderId="4" xfId="0" applyNumberFormat="1" applyFont="1" applyBorder="1" applyAlignment="1">
      <alignment horizontal="center" vertical="center"/>
    </xf>
    <xf numFmtId="4" fontId="34" fillId="0" borderId="0" xfId="0" applyNumberFormat="1" applyFont="1" applyBorder="1" applyAlignment="1">
      <alignment horizontal="left" vertical="center"/>
    </xf>
    <xf numFmtId="164" fontId="34" fillId="0" borderId="0" xfId="0" applyNumberFormat="1" applyFont="1" applyBorder="1" applyAlignment="1">
      <alignment horizontal="center" vertical="center"/>
    </xf>
    <xf numFmtId="4" fontId="34" fillId="0" borderId="0" xfId="0" applyNumberFormat="1" applyFont="1" applyBorder="1" applyAlignment="1">
      <alignment horizontal="center" vertical="center"/>
    </xf>
    <xf numFmtId="4" fontId="35" fillId="0" borderId="16" xfId="0" applyNumberFormat="1" applyFont="1" applyBorder="1" applyAlignment="1">
      <alignment horizontal="left" vertical="center"/>
    </xf>
    <xf numFmtId="4" fontId="34" fillId="0" borderId="16" xfId="0" applyNumberFormat="1" applyFont="1" applyBorder="1" applyAlignment="1">
      <alignment horizontal="left" vertical="center"/>
    </xf>
    <xf numFmtId="4" fontId="34" fillId="0" borderId="16" xfId="0" applyNumberFormat="1" applyFont="1" applyBorder="1" applyAlignment="1">
      <alignment horizontal="right" vertical="center"/>
    </xf>
    <xf numFmtId="4" fontId="31" fillId="0" borderId="8" xfId="0" applyNumberFormat="1" applyFont="1" applyBorder="1" applyAlignment="1">
      <alignment vertical="center"/>
    </xf>
    <xf numFmtId="10" fontId="31" fillId="0" borderId="0" xfId="0" applyNumberFormat="1" applyFont="1" applyAlignment="1">
      <alignment vertical="center"/>
    </xf>
    <xf numFmtId="4" fontId="32" fillId="0" borderId="18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9" fontId="31" fillId="0" borderId="0" xfId="1" applyFont="1" applyAlignment="1">
      <alignment vertical="center"/>
    </xf>
    <xf numFmtId="0" fontId="31" fillId="0" borderId="0" xfId="0" applyNumberFormat="1" applyFont="1" applyAlignment="1">
      <alignment vertical="center"/>
    </xf>
    <xf numFmtId="0" fontId="31" fillId="0" borderId="0" xfId="0" applyNumberFormat="1" applyFont="1" applyAlignment="1">
      <alignment horizontal="right" vertical="center" wrapText="1"/>
    </xf>
    <xf numFmtId="0" fontId="31" fillId="0" borderId="0" xfId="0" applyNumberFormat="1" applyFont="1" applyAlignment="1">
      <alignment vertical="center" wrapText="1"/>
    </xf>
    <xf numFmtId="0" fontId="38" fillId="0" borderId="1" xfId="10" applyFont="1" applyFill="1" applyBorder="1" applyAlignment="1" applyProtection="1">
      <alignment vertical="center"/>
      <protection locked="0"/>
    </xf>
    <xf numFmtId="168" fontId="39" fillId="0" borderId="1" xfId="14" applyNumberFormat="1" applyFont="1" applyFill="1" applyBorder="1" applyAlignment="1" applyProtection="1">
      <protection locked="0"/>
    </xf>
    <xf numFmtId="168" fontId="39" fillId="3" borderId="1" xfId="14" applyNumberFormat="1" applyFont="1" applyFill="1" applyBorder="1" applyAlignment="1" applyProtection="1">
      <protection locked="0"/>
    </xf>
    <xf numFmtId="168" fontId="38" fillId="3" borderId="1" xfId="14" applyNumberFormat="1" applyFont="1" applyFill="1" applyBorder="1" applyAlignment="1" applyProtection="1">
      <protection locked="0"/>
    </xf>
    <xf numFmtId="168" fontId="38" fillId="0" borderId="1" xfId="14" applyNumberFormat="1" applyFont="1" applyFill="1" applyBorder="1" applyAlignment="1" applyProtection="1">
      <protection locked="0"/>
    </xf>
    <xf numFmtId="9" fontId="38" fillId="0" borderId="1" xfId="1" applyNumberFormat="1" applyFont="1" applyFill="1" applyBorder="1" applyAlignment="1" applyProtection="1">
      <protection locked="0"/>
    </xf>
    <xf numFmtId="0" fontId="34" fillId="0" borderId="1" xfId="10" applyFont="1" applyFill="1" applyBorder="1" applyAlignment="1" applyProtection="1">
      <alignment horizontal="center" vertical="center" wrapText="1"/>
      <protection locked="0"/>
    </xf>
    <xf numFmtId="0" fontId="34" fillId="0" borderId="1" xfId="10" applyFont="1" applyFill="1" applyBorder="1" applyAlignment="1" applyProtection="1">
      <alignment vertical="center" wrapText="1"/>
      <protection locked="0"/>
    </xf>
    <xf numFmtId="0" fontId="34" fillId="0" borderId="1" xfId="5" applyFont="1" applyFill="1" applyBorder="1" applyAlignment="1" applyProtection="1">
      <alignment vertical="center" wrapText="1"/>
      <protection locked="0"/>
    </xf>
    <xf numFmtId="0" fontId="34" fillId="0" borderId="1" xfId="5" applyFont="1" applyFill="1" applyBorder="1" applyAlignment="1">
      <alignment horizontal="center" vertical="center" wrapText="1"/>
    </xf>
    <xf numFmtId="0" fontId="34" fillId="0" borderId="1" xfId="10" applyFont="1" applyFill="1" applyBorder="1" applyAlignment="1">
      <alignment vertical="center" wrapText="1"/>
    </xf>
    <xf numFmtId="0" fontId="34" fillId="0" borderId="1" xfId="10" applyFont="1" applyFill="1" applyBorder="1" applyAlignment="1">
      <alignment horizontal="center" vertical="center" wrapText="1"/>
    </xf>
    <xf numFmtId="0" fontId="34" fillId="0" borderId="1" xfId="5" applyFont="1" applyFill="1" applyBorder="1" applyAlignment="1">
      <alignment horizontal="left" vertical="center" wrapText="1"/>
    </xf>
    <xf numFmtId="0" fontId="34" fillId="0" borderId="1" xfId="5" applyFont="1" applyFill="1" applyBorder="1" applyAlignment="1" applyProtection="1">
      <alignment horizontal="left" vertical="center" wrapText="1"/>
      <protection locked="0"/>
    </xf>
    <xf numFmtId="0" fontId="34" fillId="0" borderId="1" xfId="5" applyFont="1" applyFill="1" applyBorder="1" applyAlignment="1" applyProtection="1">
      <alignment horizontal="center" vertical="center" wrapText="1"/>
      <protection locked="0"/>
    </xf>
    <xf numFmtId="0" fontId="34" fillId="0" borderId="1" xfId="5" applyFont="1" applyFill="1" applyBorder="1" applyAlignment="1">
      <alignment vertical="center" wrapText="1"/>
    </xf>
    <xf numFmtId="0" fontId="34" fillId="0" borderId="1" xfId="0" applyFont="1" applyFill="1" applyBorder="1" applyAlignment="1" applyProtection="1">
      <alignment vertical="center" wrapText="1"/>
      <protection locked="0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9" fontId="35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9" fontId="34" fillId="0" borderId="1" xfId="0" applyNumberFormat="1" applyFont="1" applyFill="1" applyBorder="1" applyAlignment="1">
      <alignment horizontal="center" vertical="center" wrapText="1"/>
    </xf>
    <xf numFmtId="0" fontId="34" fillId="0" borderId="0" xfId="5" applyFont="1" applyFill="1" applyAlignment="1">
      <alignment vertical="center" wrapText="1"/>
    </xf>
    <xf numFmtId="0" fontId="34" fillId="0" borderId="0" xfId="5" applyFont="1" applyFill="1" applyAlignment="1">
      <alignment horizontal="center" vertical="center" wrapText="1"/>
    </xf>
    <xf numFmtId="2" fontId="35" fillId="0" borderId="0" xfId="5" applyNumberFormat="1" applyFont="1" applyFill="1" applyAlignment="1">
      <alignment horizontal="center" vertical="center" wrapText="1"/>
    </xf>
    <xf numFmtId="0" fontId="34" fillId="0" borderId="0" xfId="5" applyFont="1" applyFill="1" applyAlignment="1" applyProtection="1">
      <alignment horizontal="center" vertical="center" wrapText="1"/>
      <protection locked="0"/>
    </xf>
    <xf numFmtId="0" fontId="34" fillId="0" borderId="0" xfId="5" applyFont="1" applyFill="1" applyAlignment="1" applyProtection="1">
      <alignment vertical="center" wrapText="1"/>
      <protection locked="0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4" fillId="0" borderId="0" xfId="13" applyFont="1" applyFill="1" applyAlignment="1">
      <alignment horizontal="center" vertical="center" wrapText="1"/>
    </xf>
    <xf numFmtId="0" fontId="34" fillId="0" borderId="0" xfId="13" applyFont="1" applyFill="1" applyAlignment="1">
      <alignment vertical="center" wrapText="1"/>
    </xf>
    <xf numFmtId="2" fontId="34" fillId="0" borderId="0" xfId="13" applyNumberFormat="1" applyFont="1" applyFill="1" applyAlignment="1">
      <alignment horizontal="center" vertical="center" wrapText="1"/>
    </xf>
    <xf numFmtId="2" fontId="34" fillId="0" borderId="0" xfId="0" applyNumberFormat="1" applyFont="1" applyFill="1" applyAlignment="1">
      <alignment horizontal="center" vertical="center" wrapText="1"/>
    </xf>
    <xf numFmtId="43" fontId="34" fillId="0" borderId="0" xfId="0" applyNumberFormat="1" applyFont="1" applyFill="1" applyAlignment="1">
      <alignment horizontal="center" vertical="center" wrapText="1"/>
    </xf>
    <xf numFmtId="167" fontId="34" fillId="0" borderId="0" xfId="0" applyNumberFormat="1" applyFont="1" applyFill="1" applyAlignment="1">
      <alignment horizontal="center" vertical="center" wrapText="1"/>
    </xf>
    <xf numFmtId="2" fontId="34" fillId="0" borderId="0" xfId="5" applyNumberFormat="1" applyFont="1" applyFill="1" applyAlignment="1">
      <alignment horizontal="center" vertical="center" wrapText="1"/>
    </xf>
    <xf numFmtId="4" fontId="35" fillId="0" borderId="2" xfId="5" applyNumberFormat="1" applyFont="1" applyFill="1" applyBorder="1" applyAlignment="1">
      <alignment horizontal="center" vertical="center" wrapText="1"/>
    </xf>
    <xf numFmtId="4" fontId="35" fillId="0" borderId="4" xfId="5" applyNumberFormat="1" applyFont="1" applyFill="1" applyBorder="1" applyAlignment="1">
      <alignment horizontal="center" vertical="center" wrapText="1"/>
    </xf>
    <xf numFmtId="4" fontId="35" fillId="0" borderId="3" xfId="5" applyNumberFormat="1" applyFont="1" applyFill="1" applyBorder="1" applyAlignment="1">
      <alignment horizontal="center" vertical="center" wrapText="1"/>
    </xf>
    <xf numFmtId="168" fontId="34" fillId="0" borderId="1" xfId="14" applyNumberFormat="1" applyFont="1" applyFill="1" applyBorder="1" applyAlignment="1" applyProtection="1">
      <alignment horizontal="right" vertical="center" wrapText="1"/>
      <protection locked="0"/>
    </xf>
    <xf numFmtId="168" fontId="34" fillId="0" borderId="1" xfId="14" applyNumberFormat="1" applyFont="1" applyFill="1" applyBorder="1" applyAlignment="1">
      <alignment horizontal="right" vertical="center" wrapText="1"/>
    </xf>
    <xf numFmtId="168" fontId="35" fillId="0" borderId="1" xfId="14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wrapText="1"/>
    </xf>
    <xf numFmtId="0" fontId="31" fillId="0" borderId="0" xfId="0" applyFont="1" applyFill="1" applyAlignment="1">
      <alignment wrapText="1"/>
    </xf>
    <xf numFmtId="0" fontId="35" fillId="2" borderId="1" xfId="5" applyFont="1" applyFill="1" applyBorder="1" applyAlignment="1">
      <alignment horizontal="center" vertical="center" wrapText="1"/>
    </xf>
    <xf numFmtId="0" fontId="35" fillId="2" borderId="1" xfId="5" applyFont="1" applyFill="1" applyBorder="1" applyAlignment="1">
      <alignment horizontal="center" vertical="center" wrapText="1"/>
    </xf>
    <xf numFmtId="2" fontId="35" fillId="2" borderId="1" xfId="5" applyNumberFormat="1" applyFont="1" applyFill="1" applyBorder="1" applyAlignment="1">
      <alignment horizontal="center" vertical="center" wrapText="1"/>
    </xf>
    <xf numFmtId="167" fontId="34" fillId="0" borderId="1" xfId="10" applyNumberFormat="1" applyFont="1" applyFill="1" applyBorder="1" applyAlignment="1" applyProtection="1">
      <alignment vertical="center" wrapText="1"/>
      <protection locked="0"/>
    </xf>
    <xf numFmtId="167" fontId="34" fillId="0" borderId="1" xfId="5" applyNumberFormat="1" applyFont="1" applyBorder="1" applyAlignment="1" applyProtection="1">
      <alignment vertical="center" wrapText="1"/>
      <protection locked="0"/>
    </xf>
    <xf numFmtId="167" fontId="34" fillId="0" borderId="1" xfId="5" applyNumberFormat="1" applyFont="1" applyFill="1" applyBorder="1" applyAlignment="1" applyProtection="1">
      <alignment horizontal="right" vertical="center" wrapText="1"/>
      <protection locked="0"/>
    </xf>
    <xf numFmtId="167" fontId="34" fillId="8" borderId="1" xfId="5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4" fillId="0" borderId="2" xfId="10" applyFont="1" applyFill="1" applyBorder="1" applyAlignment="1" applyProtection="1">
      <alignment vertical="center" wrapText="1"/>
      <protection locked="0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wrapText="1"/>
    </xf>
    <xf numFmtId="0" fontId="31" fillId="8" borderId="1" xfId="0" applyFont="1" applyFill="1" applyBorder="1" applyAlignment="1">
      <alignment wrapText="1"/>
    </xf>
    <xf numFmtId="0" fontId="34" fillId="0" borderId="0" xfId="10" applyFont="1" applyFill="1" applyBorder="1" applyAlignment="1" applyProtection="1">
      <alignment vertical="center" wrapText="1"/>
      <protection locked="0"/>
    </xf>
    <xf numFmtId="0" fontId="31" fillId="0" borderId="0" xfId="0" applyFont="1" applyBorder="1" applyAlignment="1">
      <alignment wrapText="1"/>
    </xf>
    <xf numFmtId="0" fontId="34" fillId="0" borderId="0" xfId="1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vertical="center" wrapText="1"/>
    </xf>
    <xf numFmtId="0" fontId="34" fillId="0" borderId="1" xfId="10" applyFont="1" applyFill="1" applyBorder="1" applyAlignment="1" applyProtection="1">
      <alignment vertical="center"/>
      <protection locked="0"/>
    </xf>
    <xf numFmtId="0" fontId="35" fillId="2" borderId="19" xfId="5" applyFont="1" applyFill="1" applyBorder="1" applyAlignment="1">
      <alignment horizontal="center" vertical="center" wrapText="1"/>
    </xf>
    <xf numFmtId="0" fontId="35" fillId="2" borderId="5" xfId="5" applyFont="1" applyFill="1" applyBorder="1" applyAlignment="1">
      <alignment horizontal="center" vertical="center" wrapText="1"/>
    </xf>
    <xf numFmtId="0" fontId="32" fillId="0" borderId="0" xfId="0" applyFont="1" applyFill="1" applyAlignment="1"/>
    <xf numFmtId="0" fontId="32" fillId="0" borderId="0" xfId="0" applyFont="1" applyFill="1" applyAlignment="1">
      <alignment wrapText="1"/>
    </xf>
    <xf numFmtId="0" fontId="32" fillId="9" borderId="0" xfId="0" applyFont="1" applyFill="1" applyAlignment="1">
      <alignment horizontal="center" vertical="center" wrapText="1"/>
    </xf>
    <xf numFmtId="0" fontId="34" fillId="9" borderId="1" xfId="10" applyFont="1" applyFill="1" applyBorder="1" applyAlignment="1" applyProtection="1">
      <alignment horizontal="center" vertical="center" wrapText="1"/>
      <protection locked="0"/>
    </xf>
    <xf numFmtId="169" fontId="41" fillId="0" borderId="0" xfId="0" applyNumberFormat="1" applyFont="1" applyAlignment="1">
      <alignment horizontal="right" vertical="center" wrapText="1"/>
    </xf>
  </cellXfs>
  <cellStyles count="15">
    <cellStyle name="40% - Accent1" xfId="10" builtinId="31"/>
    <cellStyle name="Comma" xfId="14" builtinId="3"/>
    <cellStyle name="Comma 2" xfId="12"/>
    <cellStyle name="Millares 2" xfId="9"/>
    <cellStyle name="Normal" xfId="0" builtinId="0"/>
    <cellStyle name="Normal 10" xfId="13"/>
    <cellStyle name="Normal 2" xfId="5"/>
    <cellStyle name="Normal 2 2" xfId="2"/>
    <cellStyle name="Normal 3" xfId="8"/>
    <cellStyle name="Normal 3 2" xfId="3"/>
    <cellStyle name="Normal 3 2 2" xfId="4"/>
    <cellStyle name="Normal 5" xfId="6"/>
    <cellStyle name="Normal_sesruleba soganlugi-marti.SHM_forma2 digomi.xls" xfId="11"/>
    <cellStyle name="Percent" xfId="1" builtinId="5"/>
    <cellStyle name="Standard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pie3DChart>
        <c:varyColors val="1"/>
        <c:ser>
          <c:idx val="0"/>
          <c:order val="0"/>
          <c:explosion val="43"/>
          <c:dPt>
            <c:idx val="0"/>
            <c:bubble3D val="0"/>
            <c:explosion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6D07-49A2-9815-4C0667778DD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ADA-4E86-A4C2-4485BD179456}"/>
              </c:ext>
            </c:extLst>
          </c:dPt>
          <c:dLbls>
            <c:dLbl>
              <c:idx val="0"/>
              <c:layout>
                <c:manualLayout>
                  <c:x val="0.10499737620663527"/>
                  <c:y val="5.369189792509500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FB5ABFA-3F05-441D-A4D5-F379B423E480}" type="CATEGORYNAME">
                      <a:rPr lang="ka-GE" sz="800"/>
                      <a:pPr>
                        <a:defRPr/>
                      </a:pPr>
                      <a:t>[CATEGORY NAME]</a:t>
                    </a:fld>
                    <a:r>
                      <a:rPr lang="ka-GE" sz="800" baseline="0"/>
                      <a:t>, </a:t>
                    </a:r>
                    <a:fld id="{C26EB893-A2E2-417D-A5A7-7064B2FC25B9}" type="VALUE">
                      <a:rPr lang="ka-GE" sz="800" baseline="0"/>
                      <a:pPr>
                        <a:defRPr/>
                      </a:pPr>
                      <a:t>[VALUE]</a:t>
                    </a:fld>
                    <a:endParaRPr lang="ka-GE" sz="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432609626725529"/>
                      <c:h val="0.3124637125640490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D07-49A2-9815-4C0667778DD2}"/>
                </c:ext>
              </c:extLst>
            </c:dLbl>
            <c:dLbl>
              <c:idx val="1"/>
              <c:layout>
                <c:manualLayout>
                  <c:x val="0.52440747207854244"/>
                  <c:y val="-2.38632755177008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E283F5E-134C-425B-956E-2EC7CC7952D1}" type="CATEGORYNAME">
                      <a:rPr lang="ka-GE" sz="800"/>
                      <a:pPr>
                        <a:defRPr>
                          <a:solidFill>
                            <a:schemeClr val="accent6"/>
                          </a:solidFill>
                        </a:defRPr>
                      </a:pPr>
                      <a:t>[CATEGORY NAME]</a:t>
                    </a:fld>
                    <a:r>
                      <a:rPr lang="ka-GE" sz="800" baseline="0"/>
                      <a:t>, </a:t>
                    </a:r>
                    <a:fld id="{56800397-B3DA-4AF2-AEC5-268E8BC82C1E}" type="VALUE">
                      <a:rPr lang="ka-GE" sz="800" baseline="0"/>
                      <a:pPr>
                        <a:defRPr>
                          <a:solidFill>
                            <a:schemeClr val="accent6"/>
                          </a:solidFill>
                        </a:defRPr>
                      </a:pPr>
                      <a:t>[VALUE]</a:t>
                    </a:fld>
                    <a:endParaRPr lang="ka-GE" sz="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6725333333333335"/>
                      <c:h val="0.2219014084507041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ADA-4E86-A4C2-4485BD17945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'შუალედური ფორმა N3'!$G$27:$G$28</c:f>
              <c:strCache>
                <c:ptCount val="2"/>
                <c:pt idx="0">
                  <c:v>შესრულება</c:v>
                </c:pt>
                <c:pt idx="1">
                  <c:v>დარჩენილი</c:v>
                </c:pt>
              </c:strCache>
            </c:strRef>
          </c:cat>
          <c:val>
            <c:numRef>
              <c:f>'შუალედური ფორმა N3'!$H$27:$H$28</c:f>
              <c:numCache>
                <c:formatCode>0%</c:formatCode>
                <c:ptCount val="2"/>
                <c:pt idx="0">
                  <c:v>0.13334735941037926</c:v>
                </c:pt>
                <c:pt idx="1">
                  <c:v>0.86665264058962077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A-4E86-A4C2-4485BD1794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1452561</xdr:colOff>
      <xdr:row>1</xdr:row>
      <xdr:rowOff>30956</xdr:rowOff>
    </xdr:from>
    <xdr:to>
      <xdr:col>4</xdr:col>
      <xdr:colOff>1809746</xdr:colOff>
      <xdr:row>5</xdr:row>
      <xdr:rowOff>154781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4" y="209550"/>
          <a:ext cx="1976435" cy="1052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11906</xdr:colOff>
      <xdr:row>0</xdr:row>
      <xdr:rowOff>178593</xdr:rowOff>
    </xdr:from>
    <xdr:to>
      <xdr:col>9</xdr:col>
      <xdr:colOff>745877</xdr:colOff>
      <xdr:row>6</xdr:row>
      <xdr:rowOff>23811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719" y="178593"/>
          <a:ext cx="2198440" cy="9167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17</xdr:row>
      <xdr:rowOff>25400</xdr:rowOff>
    </xdr:from>
    <xdr:to>
      <xdr:col>8</xdr:col>
      <xdr:colOff>3175</xdr:colOff>
      <xdr:row>23</xdr:row>
      <xdr:rowOff>6350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36053</xdr:colOff>
      <xdr:row>2</xdr:row>
      <xdr:rowOff>23813</xdr:rowOff>
    </xdr:from>
    <xdr:to>
      <xdr:col>7</xdr:col>
      <xdr:colOff>2067718</xdr:colOff>
      <xdr:row>6</xdr:row>
      <xdr:rowOff>115888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1866" y="333376"/>
          <a:ext cx="2031665" cy="1044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560035</xdr:colOff>
      <xdr:row>0</xdr:row>
      <xdr:rowOff>47186</xdr:rowOff>
    </xdr:from>
    <xdr:to>
      <xdr:col>13</xdr:col>
      <xdr:colOff>760251</xdr:colOff>
      <xdr:row>5</xdr:row>
      <xdr:rowOff>106070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7598" y="47186"/>
          <a:ext cx="2470341" cy="10907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70554</xdr:colOff>
      <xdr:row>1</xdr:row>
      <xdr:rowOff>86873</xdr:rowOff>
    </xdr:from>
    <xdr:to>
      <xdr:col>10</xdr:col>
      <xdr:colOff>135377</xdr:colOff>
      <xdr:row>5</xdr:row>
      <xdr:rowOff>178505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2554" y="291484"/>
          <a:ext cx="2236612" cy="9291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472440</xdr:colOff>
      <xdr:row>13</xdr:row>
      <xdr:rowOff>68580</xdr:rowOff>
    </xdr:from>
    <xdr:to>
      <xdr:col>4</xdr:col>
      <xdr:colOff>396240</xdr:colOff>
      <xdr:row>22</xdr:row>
      <xdr:rowOff>68580</xdr:rowOff>
    </xdr:to>
    <xdr:sp macro="" textlink="">
      <xdr:nvSpPr>
        <xdr:cNvPr id="2" name="Up Arrow 1"/>
        <xdr:cNvSpPr/>
      </xdr:nvSpPr>
      <xdr:spPr>
        <a:xfrm>
          <a:off x="4253865" y="3116580"/>
          <a:ext cx="514350" cy="13716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</xdr:row>
      <xdr:rowOff>190499</xdr:rowOff>
    </xdr:from>
    <xdr:to>
      <xdr:col>6</xdr:col>
      <xdr:colOff>1132908</xdr:colOff>
      <xdr:row>6</xdr:row>
      <xdr:rowOff>106796</xdr:rowOff>
    </xdr:to>
    <xdr:pic>
      <xdr:nvPicPr>
        <xdr:cNvPr id="2" name="Picture 1" descr="C:\Users\Natia\Desktop\Cobr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325" y="556259"/>
          <a:ext cx="1070043" cy="701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80" zoomScaleNormal="80" workbookViewId="0">
      <selection activeCell="L17" sqref="L17"/>
    </sheetView>
  </sheetViews>
  <sheetFormatPr defaultColWidth="8.85546875" defaultRowHeight="14.25"/>
  <cols>
    <col min="1" max="1" width="2.7109375" style="94" customWidth="1"/>
    <col min="2" max="2" width="29.140625" style="94" customWidth="1"/>
    <col min="3" max="3" width="22.85546875" style="95" customWidth="1"/>
    <col min="4" max="4" width="24.28515625" style="95" customWidth="1"/>
    <col min="5" max="5" width="27.5703125" style="95" customWidth="1"/>
    <col min="6" max="6" width="10.7109375" style="94" customWidth="1"/>
    <col min="7" max="16384" width="8.85546875" style="94"/>
  </cols>
  <sheetData>
    <row r="1" spans="2:5" s="92" customFormat="1">
      <c r="C1" s="93"/>
      <c r="D1" s="93"/>
      <c r="E1" s="93"/>
    </row>
    <row r="2" spans="2:5" s="92" customFormat="1" ht="31.5" customHeight="1">
      <c r="B2" s="167" t="s">
        <v>106</v>
      </c>
      <c r="C2" s="167"/>
      <c r="D2" s="167"/>
      <c r="E2" s="167"/>
    </row>
    <row r="3" spans="2:5" s="92" customFormat="1" ht="12.75" customHeight="1">
      <c r="B3" s="168" t="s">
        <v>107</v>
      </c>
      <c r="C3" s="168"/>
      <c r="D3" s="168"/>
      <c r="E3" s="168"/>
    </row>
    <row r="4" spans="2:5" s="92" customFormat="1">
      <c r="C4" s="93"/>
      <c r="E4" s="93"/>
    </row>
    <row r="5" spans="2:5" s="92" customFormat="1">
      <c r="C5" s="122"/>
      <c r="E5" s="122"/>
    </row>
    <row r="6" spans="2:5" s="92" customFormat="1">
      <c r="C6" s="122"/>
      <c r="E6" s="122"/>
    </row>
    <row r="7" spans="2:5" s="92" customFormat="1">
      <c r="B7" s="100" t="s">
        <v>184</v>
      </c>
      <c r="C7" s="120" t="s">
        <v>185</v>
      </c>
      <c r="D7" s="93"/>
      <c r="E7" s="93"/>
    </row>
    <row r="8" spans="2:5" s="100" customFormat="1">
      <c r="B8" s="100" t="s">
        <v>2</v>
      </c>
      <c r="C8" s="120"/>
      <c r="D8" s="101"/>
      <c r="E8" s="101"/>
    </row>
    <row r="9" spans="2:5" s="96" customFormat="1">
      <c r="B9" s="96" t="s">
        <v>108</v>
      </c>
      <c r="C9" s="121"/>
      <c r="E9" s="102"/>
    </row>
    <row r="10" spans="2:5" s="96" customFormat="1">
      <c r="B10" s="96" t="s">
        <v>170</v>
      </c>
      <c r="C10" s="121"/>
      <c r="E10" s="102"/>
    </row>
    <row r="11" spans="2:5" s="96" customFormat="1">
      <c r="B11" s="96" t="s">
        <v>169</v>
      </c>
      <c r="C11" s="121"/>
      <c r="E11" s="102"/>
    </row>
    <row r="12" spans="2:5" s="103" customFormat="1">
      <c r="B12" s="103" t="s">
        <v>171</v>
      </c>
      <c r="C12" s="123"/>
      <c r="E12" s="104"/>
    </row>
    <row r="13" spans="2:5" s="96" customFormat="1">
      <c r="B13" s="103" t="s">
        <v>172</v>
      </c>
      <c r="C13" s="123"/>
      <c r="E13" s="105"/>
    </row>
    <row r="14" spans="2:5" s="96" customFormat="1">
      <c r="B14" s="103" t="s">
        <v>173</v>
      </c>
      <c r="C14" s="123"/>
      <c r="E14" s="106"/>
    </row>
    <row r="15" spans="2:5" s="96" customFormat="1">
      <c r="B15" s="103" t="s">
        <v>174</v>
      </c>
      <c r="C15" s="123"/>
      <c r="E15" s="107"/>
    </row>
    <row r="17" spans="1:11" s="95" customFormat="1" ht="41.25" customHeight="1" thickBot="1">
      <c r="B17" s="124" t="s">
        <v>105</v>
      </c>
      <c r="C17" s="125" t="s">
        <v>175</v>
      </c>
      <c r="D17" s="125" t="s">
        <v>176</v>
      </c>
      <c r="E17" s="125" t="s">
        <v>177</v>
      </c>
    </row>
    <row r="18" spans="1:11" s="96" customFormat="1">
      <c r="B18" s="126" t="s">
        <v>182</v>
      </c>
      <c r="C18" s="127">
        <f>'საბოლოო ფორმა N2'!F45</f>
        <v>218018.1750021</v>
      </c>
      <c r="D18" s="127">
        <f>'საბოლოო ფორმა N2'!H45</f>
        <v>820.38528000000019</v>
      </c>
      <c r="E18" s="127">
        <f>'საბოლოო ფორმა N2'!J45</f>
        <v>213264.04274999999</v>
      </c>
    </row>
    <row r="19" spans="1:11" s="96" customFormat="1">
      <c r="B19" s="128" t="s">
        <v>103</v>
      </c>
      <c r="C19" s="127">
        <f>'საბოლოო ფორმა N2'!F46</f>
        <v>39243.271500377996</v>
      </c>
      <c r="D19" s="127">
        <f>'საბოლოო ფორმა N2'!H46</f>
        <v>147.66935040000004</v>
      </c>
      <c r="E19" s="127">
        <f>'საბოლოო ფორმა N2'!J46</f>
        <v>38387.527694999997</v>
      </c>
    </row>
    <row r="20" spans="1:11" s="96" customFormat="1" ht="15" thickBot="1">
      <c r="B20" s="129" t="s">
        <v>178</v>
      </c>
      <c r="C20" s="130">
        <f>C18+C19</f>
        <v>257261.44650247801</v>
      </c>
      <c r="D20" s="130">
        <f>D18+D19</f>
        <v>968.05463040000018</v>
      </c>
      <c r="E20" s="130">
        <f>E18+E19</f>
        <v>251651.57044499999</v>
      </c>
    </row>
    <row r="21" spans="1:11" ht="15" thickTop="1">
      <c r="C21" s="261">
        <f>C20-'საბოლოო ფორმა N2'!F47</f>
        <v>0</v>
      </c>
      <c r="D21" s="261">
        <f>D20-'საბოლოო ფორმა N2'!H47</f>
        <v>0</v>
      </c>
      <c r="E21" s="261">
        <f>E20-'საბოლოო ფორმა N2'!J47</f>
        <v>0</v>
      </c>
    </row>
    <row r="22" spans="1:11">
      <c r="C22" s="261"/>
      <c r="D22" s="261"/>
      <c r="E22" s="261"/>
    </row>
    <row r="23" spans="1:11" ht="13.9" customHeight="1">
      <c r="B23" s="97" t="s">
        <v>1</v>
      </c>
      <c r="C23" s="98"/>
      <c r="E23" s="99" t="s">
        <v>2</v>
      </c>
      <c r="F23" s="97"/>
    </row>
    <row r="24" spans="1:11" s="121" customFormat="1">
      <c r="A24" s="131"/>
      <c r="B24" s="131"/>
      <c r="C24" s="131"/>
      <c r="E24" s="131"/>
      <c r="F24" s="131"/>
    </row>
    <row r="25" spans="1:11" s="121" customFormat="1">
      <c r="B25" s="121" t="s">
        <v>188</v>
      </c>
      <c r="E25" s="121" t="s">
        <v>180</v>
      </c>
      <c r="F25" s="131"/>
    </row>
    <row r="26" spans="1:11" s="121" customFormat="1">
      <c r="A26" s="131"/>
      <c r="B26" s="121" t="s">
        <v>179</v>
      </c>
      <c r="E26" s="121" t="s">
        <v>181</v>
      </c>
      <c r="F26" s="131"/>
      <c r="J26" s="132"/>
      <c r="K26" s="132"/>
    </row>
    <row r="27" spans="1:11" s="121" customFormat="1">
      <c r="A27" s="131"/>
      <c r="E27" s="133"/>
      <c r="F27" s="131"/>
      <c r="J27" s="132"/>
      <c r="K27" s="132"/>
    </row>
    <row r="28" spans="1:11" s="121" customFormat="1">
      <c r="A28" s="131"/>
      <c r="E28" s="133"/>
      <c r="F28" s="131"/>
      <c r="J28" s="132"/>
      <c r="K28" s="132"/>
    </row>
    <row r="29" spans="1:11" s="121" customFormat="1">
      <c r="B29" s="121" t="s">
        <v>189</v>
      </c>
      <c r="C29" s="131"/>
      <c r="E29" s="131"/>
      <c r="F29" s="131"/>
    </row>
    <row r="30" spans="1:11" s="121" customFormat="1">
      <c r="A30" s="131"/>
      <c r="B30" s="121" t="s">
        <v>3</v>
      </c>
      <c r="E30" s="131"/>
      <c r="F30" s="131"/>
    </row>
    <row r="31" spans="1:11" s="121" customFormat="1">
      <c r="A31" s="131"/>
      <c r="E31" s="131"/>
      <c r="F31" s="131"/>
    </row>
    <row r="32" spans="1:11" s="121" customFormat="1"/>
    <row r="33" spans="2:5" s="96" customFormat="1">
      <c r="B33" s="96" t="s">
        <v>183</v>
      </c>
      <c r="C33" s="102"/>
      <c r="D33" s="102"/>
      <c r="E33" s="102"/>
    </row>
    <row r="34" spans="2:5">
      <c r="B34" s="121" t="s">
        <v>181</v>
      </c>
    </row>
  </sheetData>
  <mergeCells count="2">
    <mergeCell ref="B2:E2"/>
    <mergeCell ref="B3:E3"/>
  </mergeCells>
  <pageMargins left="0.7" right="0.7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80" zoomScaleNormal="80" workbookViewId="0">
      <pane xSplit="2" ySplit="10" topLeftCell="C29" activePane="bottomRight" state="frozen"/>
      <selection pane="topRight" activeCell="C1" sqref="C1"/>
      <selection pane="bottomLeft" activeCell="A11" sqref="A11"/>
      <selection pane="bottomRight" activeCell="Q15" sqref="Q15"/>
    </sheetView>
  </sheetViews>
  <sheetFormatPr defaultColWidth="8.7109375" defaultRowHeight="14.25"/>
  <cols>
    <col min="1" max="1" width="7.42578125" style="110" bestFit="1" customWidth="1"/>
    <col min="2" max="2" width="45.5703125" style="111" customWidth="1"/>
    <col min="3" max="3" width="8.42578125" style="112" customWidth="1"/>
    <col min="4" max="4" width="9.85546875" style="108" bestFit="1" customWidth="1"/>
    <col min="5" max="5" width="9" style="108" bestFit="1" customWidth="1"/>
    <col min="6" max="6" width="12.85546875" style="108" bestFit="1" customWidth="1"/>
    <col min="7" max="7" width="8.85546875" style="108" bestFit="1" customWidth="1"/>
    <col min="8" max="8" width="12.140625" style="108" customWidth="1"/>
    <col min="9" max="9" width="9.85546875" style="108" bestFit="1" customWidth="1"/>
    <col min="10" max="10" width="12.7109375" style="108" bestFit="1" customWidth="1"/>
    <col min="11" max="11" width="9.5703125" style="108" bestFit="1" customWidth="1"/>
    <col min="12" max="16384" width="8.7109375" style="108"/>
  </cols>
  <sheetData>
    <row r="1" spans="1:10">
      <c r="A1" s="108"/>
      <c r="B1" s="108"/>
      <c r="C1" s="108"/>
      <c r="H1" s="109"/>
    </row>
    <row r="2" spans="1:10">
      <c r="A2" s="108"/>
      <c r="B2" s="100" t="s">
        <v>184</v>
      </c>
      <c r="C2" s="120" t="s">
        <v>186</v>
      </c>
      <c r="H2" s="109"/>
    </row>
    <row r="3" spans="1:10">
      <c r="A3" s="108"/>
      <c r="B3" s="100" t="s">
        <v>2</v>
      </c>
      <c r="C3" s="120"/>
      <c r="H3" s="109"/>
    </row>
    <row r="4" spans="1:10">
      <c r="A4" s="108"/>
      <c r="B4" s="96" t="s">
        <v>108</v>
      </c>
      <c r="C4" s="121"/>
      <c r="H4" s="109"/>
    </row>
    <row r="5" spans="1:10">
      <c r="A5" s="108"/>
      <c r="B5" s="96" t="s">
        <v>170</v>
      </c>
      <c r="C5" s="121"/>
      <c r="H5" s="109"/>
    </row>
    <row r="6" spans="1:10">
      <c r="A6" s="108"/>
      <c r="B6" s="96" t="s">
        <v>169</v>
      </c>
      <c r="C6" s="121"/>
      <c r="H6" s="109"/>
    </row>
    <row r="7" spans="1:10">
      <c r="B7" s="103" t="s">
        <v>171</v>
      </c>
    </row>
    <row r="9" spans="1:10" ht="47.25" customHeight="1">
      <c r="A9" s="155" t="s">
        <v>110</v>
      </c>
      <c r="B9" s="156" t="s">
        <v>111</v>
      </c>
      <c r="C9" s="156" t="s">
        <v>194</v>
      </c>
      <c r="D9" s="156"/>
      <c r="E9" s="156"/>
      <c r="F9" s="156"/>
      <c r="G9" s="156" t="s">
        <v>195</v>
      </c>
      <c r="H9" s="156"/>
      <c r="I9" s="157" t="s">
        <v>196</v>
      </c>
      <c r="J9" s="157"/>
    </row>
    <row r="10" spans="1:10" ht="34.5" customHeight="1">
      <c r="A10" s="155"/>
      <c r="B10" s="156"/>
      <c r="C10" s="134" t="s">
        <v>12</v>
      </c>
      <c r="D10" s="134" t="s">
        <v>187</v>
      </c>
      <c r="E10" s="134" t="s">
        <v>13</v>
      </c>
      <c r="F10" s="134" t="s">
        <v>167</v>
      </c>
      <c r="G10" s="134" t="s">
        <v>187</v>
      </c>
      <c r="H10" s="135" t="s">
        <v>167</v>
      </c>
      <c r="I10" s="134" t="s">
        <v>187</v>
      </c>
      <c r="J10" s="135" t="s">
        <v>168</v>
      </c>
    </row>
    <row r="11" spans="1:10" ht="28.5">
      <c r="A11" s="136">
        <f>'ცვლილების აქტი'!A12</f>
        <v>1</v>
      </c>
      <c r="B11" s="137" t="str">
        <f>'ცვლილების აქტი'!B12</f>
        <v>ასფალტის საფარის მოხსნა სისქით 10 სმ სანგრევი ჩაქუჩით</v>
      </c>
      <c r="C11" s="138" t="str">
        <f>'ცვლილების აქტი'!C12</f>
        <v>მ3</v>
      </c>
      <c r="D11" s="150">
        <f>'ცვლილების აქტი'!D12</f>
        <v>172.36</v>
      </c>
      <c r="E11" s="150">
        <f>'ცვლილების აქტი'!E12</f>
        <v>5</v>
      </c>
      <c r="F11" s="150">
        <f>'ცვლილების აქტი'!F12</f>
        <v>861.80000000000007</v>
      </c>
      <c r="G11" s="150">
        <f>'ცვლილების აქტი'!J12</f>
        <v>74.639999999999986</v>
      </c>
      <c r="H11" s="150">
        <f>G11*E11</f>
        <v>373.19999999999993</v>
      </c>
      <c r="I11" s="150">
        <f>D11+G11</f>
        <v>247</v>
      </c>
      <c r="J11" s="150">
        <f>'ცვლილების აქტი'!I12</f>
        <v>1235</v>
      </c>
    </row>
    <row r="12" spans="1:10" ht="28.5">
      <c r="A12" s="136" t="str">
        <f>'ცვლილების აქტი'!A13</f>
        <v>1-1-ახ.</v>
      </c>
      <c r="B12" s="137" t="str">
        <f>'ცვლილების აქტი'!B13</f>
        <v>ასფალტის საფარის მოხსნა სისქით 15 სმ სანგრევი ჩაქუჩით</v>
      </c>
      <c r="C12" s="138" t="str">
        <f>'ცვლილების აქტი'!C13</f>
        <v>მ3</v>
      </c>
      <c r="D12" s="150">
        <f>'ცვლილების აქტი'!D13</f>
        <v>0</v>
      </c>
      <c r="E12" s="150">
        <f>'ცვლილების აქტი'!E13</f>
        <v>0</v>
      </c>
      <c r="F12" s="150">
        <f>'ცვლილების აქტი'!F13</f>
        <v>0</v>
      </c>
      <c r="G12" s="150">
        <f>'ცვლილების აქტი'!J13</f>
        <v>68</v>
      </c>
      <c r="H12" s="150">
        <f t="shared" ref="H12:H38" si="0">G12*E12</f>
        <v>0</v>
      </c>
      <c r="I12" s="150">
        <f t="shared" ref="I12:I38" si="1">D12+G12</f>
        <v>68</v>
      </c>
      <c r="J12" s="150">
        <f>'ცვლილების აქტი'!I13</f>
        <v>652.80000000000007</v>
      </c>
    </row>
    <row r="13" spans="1:10" ht="28.5">
      <c r="A13" s="136">
        <f>'ცვლილების აქტი'!A14</f>
        <v>2</v>
      </c>
      <c r="B13" s="137" t="str">
        <f>'ცვლილების აქტი'!B14</f>
        <v>დამტვრეული ასფალტის  ნატეხების დატვირთვა ავ/თვითმც. და გატანა   23 კმ</v>
      </c>
      <c r="C13" s="138" t="str">
        <f>'ცვლილების აქტი'!C14</f>
        <v>მ3</v>
      </c>
      <c r="D13" s="150">
        <f>'ცვლილების აქტი'!D14</f>
        <v>172.36</v>
      </c>
      <c r="E13" s="150">
        <f>'ცვლილების აქტი'!E14</f>
        <v>0</v>
      </c>
      <c r="F13" s="150">
        <f>'ცვლილების აქტი'!F14</f>
        <v>0</v>
      </c>
      <c r="G13" s="150">
        <f>'ცვლილების აქტი'!J14</f>
        <v>0</v>
      </c>
      <c r="H13" s="150">
        <f t="shared" si="0"/>
        <v>0</v>
      </c>
      <c r="I13" s="150">
        <f t="shared" si="1"/>
        <v>172.36</v>
      </c>
      <c r="J13" s="150">
        <f>'ცვლილების აქტი'!I14</f>
        <v>0</v>
      </c>
    </row>
    <row r="14" spans="1:10" ht="28.5">
      <c r="A14" s="136">
        <f>'ცვლილების აქტი'!A15</f>
        <v>3</v>
      </c>
      <c r="B14" s="137" t="str">
        <f>'ცვლილების აქტი'!B15</f>
        <v>IV კატ. გრუნტის დამუშავება ექსკავატორით ჩამჩის მოცულობით 0.5 მ3  ა/მ დატვირთვით</v>
      </c>
      <c r="C14" s="138" t="str">
        <f>'ცვლილების აქტი'!C15</f>
        <v>მ3</v>
      </c>
      <c r="D14" s="150">
        <f>'ცვლილების აქტი'!D15</f>
        <v>3609</v>
      </c>
      <c r="E14" s="150">
        <f>'ცვლილების აქტი'!E15</f>
        <v>4.87</v>
      </c>
      <c r="F14" s="150">
        <f>'ცვლილების აქტი'!F15</f>
        <v>17575.830000000002</v>
      </c>
      <c r="G14" s="150">
        <f>'ცვლილების აქტი'!J15</f>
        <v>-609</v>
      </c>
      <c r="H14" s="150">
        <f t="shared" si="0"/>
        <v>-2965.83</v>
      </c>
      <c r="I14" s="150">
        <f t="shared" si="1"/>
        <v>3000</v>
      </c>
      <c r="J14" s="150">
        <f>'ცვლილების აქტი'!I15</f>
        <v>14610</v>
      </c>
    </row>
    <row r="15" spans="1:10" ht="28.5">
      <c r="A15" s="136">
        <f>'ცვლილების აქტი'!A16</f>
        <v>4</v>
      </c>
      <c r="B15" s="137" t="str">
        <f>'ცვლილების აქტი'!B16</f>
        <v>IV კატ. გრუნტის დამუშავება ხელით, ავტოთვითმცლელზე დატვირთვით</v>
      </c>
      <c r="C15" s="138" t="str">
        <f>'ცვლილების აქტი'!C16</f>
        <v>მ3</v>
      </c>
      <c r="D15" s="150">
        <f>'ცვლილების აქტი'!D16</f>
        <v>902</v>
      </c>
      <c r="E15" s="150">
        <f>'ცვლილების აქტი'!E16</f>
        <v>12</v>
      </c>
      <c r="F15" s="150">
        <f>'ცვლილების აქტი'!F16</f>
        <v>10824</v>
      </c>
      <c r="G15" s="150">
        <f>'ცვლილების აქტი'!J16</f>
        <v>298</v>
      </c>
      <c r="H15" s="150">
        <f t="shared" si="0"/>
        <v>3576</v>
      </c>
      <c r="I15" s="150">
        <f t="shared" si="1"/>
        <v>1200</v>
      </c>
      <c r="J15" s="150">
        <f>'ცვლილების აქტი'!I16</f>
        <v>14400</v>
      </c>
    </row>
    <row r="16" spans="1:10" ht="28.5">
      <c r="A16" s="113">
        <f>'ცვლილების აქტი'!A17</f>
        <v>5</v>
      </c>
      <c r="B16" s="114" t="str">
        <f>'ცვლილების აქტი'!B17</f>
        <v>დამუშავებული გრუნტის გატანა ავტოთვითმცლელებით 23 კმ</v>
      </c>
      <c r="C16" s="115" t="str">
        <f>'ცვლილების აქტი'!C17</f>
        <v>ტ</v>
      </c>
      <c r="D16" s="151">
        <f>'ცვლილების აქტი'!D17</f>
        <v>9022</v>
      </c>
      <c r="E16" s="151">
        <f>'ცვლილების აქტი'!E17</f>
        <v>4.3</v>
      </c>
      <c r="F16" s="151">
        <f>'ცვლილების აქტი'!F17</f>
        <v>38794.6</v>
      </c>
      <c r="G16" s="151">
        <f>'ცვლილების აქტი'!J17</f>
        <v>0</v>
      </c>
      <c r="H16" s="151">
        <f t="shared" si="0"/>
        <v>0</v>
      </c>
      <c r="I16" s="151">
        <f t="shared" si="1"/>
        <v>9022</v>
      </c>
      <c r="J16" s="151">
        <f>'ცვლილების აქტი'!I17</f>
        <v>38794.6</v>
      </c>
    </row>
    <row r="17" spans="1:10" ht="42.75">
      <c r="A17" s="113">
        <f>'ცვლილების აქტი'!A18</f>
        <v>6</v>
      </c>
      <c r="B17" s="114" t="str">
        <f>'ცვლილების აქტი'!B18</f>
        <v>ასფალტობეტონის საფარის აღდგენა სისქით 10 სმ მსხვილმარცვლოვანი 6 სმ,  და წვრილმარცვლოვანი 4 სმ</v>
      </c>
      <c r="C17" s="115" t="str">
        <f>'ცვლილების აქტი'!C18</f>
        <v>მ2</v>
      </c>
      <c r="D17" s="151">
        <f>'ცვლილების აქტი'!D18</f>
        <v>1723.58</v>
      </c>
      <c r="E17" s="151">
        <f>'ცვლილების აქტი'!E18</f>
        <v>0</v>
      </c>
      <c r="F17" s="151">
        <f>'ცვლილების აქტი'!F18</f>
        <v>0</v>
      </c>
      <c r="G17" s="151">
        <f>'ცვლილების აქტი'!J18</f>
        <v>0</v>
      </c>
      <c r="H17" s="151">
        <f t="shared" si="0"/>
        <v>0</v>
      </c>
      <c r="I17" s="151">
        <f t="shared" si="1"/>
        <v>1723.58</v>
      </c>
      <c r="J17" s="151">
        <f>'ცვლილების აქტი'!I18</f>
        <v>0</v>
      </c>
    </row>
    <row r="18" spans="1:10" ht="42.75">
      <c r="A18" s="113">
        <f>'ცვლილების აქტი'!A19</f>
        <v>7</v>
      </c>
      <c r="B18" s="114" t="str">
        <f>'ცვლილების აქტი'!B19</f>
        <v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v>
      </c>
      <c r="C18" s="115" t="str">
        <f>'ცვლილების აქტი'!C19</f>
        <v>მ3</v>
      </c>
      <c r="D18" s="151">
        <f>'ცვლილების აქტი'!D19</f>
        <v>912.3</v>
      </c>
      <c r="E18" s="151">
        <f>'ცვლილების აქტი'!E19</f>
        <v>4.6999999999999993</v>
      </c>
      <c r="F18" s="151">
        <f>'ცვლილების აქტი'!F19</f>
        <v>4287.8099999999995</v>
      </c>
      <c r="G18" s="151">
        <f>'ცვლილების აქტი'!J19</f>
        <v>-62.299999999999955</v>
      </c>
      <c r="H18" s="151">
        <f t="shared" si="0"/>
        <v>-292.80999999999972</v>
      </c>
      <c r="I18" s="151">
        <f t="shared" si="1"/>
        <v>850</v>
      </c>
      <c r="J18" s="151">
        <f>'ცვლილების აქტი'!I19</f>
        <v>3994.9999999999995</v>
      </c>
    </row>
    <row r="19" spans="1:10" ht="28.5">
      <c r="A19" s="113">
        <f>'ცვლილების აქტი'!A20</f>
        <v>8</v>
      </c>
      <c r="B19" s="114" t="str">
        <f>'ცვლილების აქტი'!B20</f>
        <v>ქვიშის საფარის მოწყობა დატკეპნით მილის ქვეშ 10სმ, ზემოდან  20 სმ</v>
      </c>
      <c r="C19" s="115" t="str">
        <f>'ცვლილების აქტი'!C20</f>
        <v>მ3</v>
      </c>
      <c r="D19" s="151">
        <f>'ცვლილების აქტი'!D20</f>
        <v>912.3</v>
      </c>
      <c r="E19" s="151">
        <f>'ცვლილების აქტი'!E20</f>
        <v>22.56</v>
      </c>
      <c r="F19" s="151">
        <f>'საბოლოო ფორმა N2'!J46</f>
        <v>38387.527694999997</v>
      </c>
      <c r="G19" s="151">
        <f>'ცვლილების აქტი'!J20</f>
        <v>0</v>
      </c>
      <c r="H19" s="151">
        <f t="shared" si="0"/>
        <v>0</v>
      </c>
      <c r="I19" s="151">
        <f t="shared" si="1"/>
        <v>912.3</v>
      </c>
      <c r="J19" s="151">
        <f>'ცვლილების აქტი'!I20</f>
        <v>20581.487999999998</v>
      </c>
    </row>
    <row r="20" spans="1:10" ht="42.75">
      <c r="A20" s="113">
        <f>'ცვლილების აქტი'!A21</f>
        <v>9</v>
      </c>
      <c r="B20" s="114" t="str">
        <f>'ცვლილების აქტი'!B21</f>
        <v>თხრილის შევსება ბალასტით (0-120 მმ) მექანიზმის გამოყენებით, 50 მ-ზე გადაადგილებით, დატკეპნა</v>
      </c>
      <c r="C20" s="115" t="str">
        <f>'ცვლილების აქტი'!C21</f>
        <v>მ3</v>
      </c>
      <c r="D20" s="151">
        <f>'ცვლილების აქტი'!D21</f>
        <v>3007.7</v>
      </c>
      <c r="E20" s="151">
        <f>'ცვლილების აქტი'!E21</f>
        <v>17.419999999999998</v>
      </c>
      <c r="F20" s="151">
        <f>'ცვლილების აქტი'!F21</f>
        <v>52394.133999999991</v>
      </c>
      <c r="G20" s="151">
        <f>'ცვლილების აქტი'!J21</f>
        <v>0</v>
      </c>
      <c r="H20" s="151">
        <f t="shared" si="0"/>
        <v>0</v>
      </c>
      <c r="I20" s="151">
        <f t="shared" si="1"/>
        <v>3007.7</v>
      </c>
      <c r="J20" s="151">
        <f>'ცვლილების აქტი'!I21</f>
        <v>52394.133999999991</v>
      </c>
    </row>
    <row r="21" spans="1:10" ht="42.75">
      <c r="A21" s="113">
        <f>'ცვლილების აქტი'!A22</f>
        <v>10</v>
      </c>
      <c r="B21" s="114" t="str">
        <f>'ცვლილების აქტი'!B22</f>
        <v>თხრილის შევსება ღორღით (5-40 მმ) მექანიზმის გამოყენებით, 50 მ-ზე გადაადგილებით, დატკეპნა</v>
      </c>
      <c r="C21" s="115" t="str">
        <f>'ცვლილების აქტი'!C22</f>
        <v>მ3</v>
      </c>
      <c r="D21" s="151">
        <f>'ცვლილების აქტი'!D22</f>
        <v>344.7</v>
      </c>
      <c r="E21" s="151">
        <f>'ცვლილების აქტი'!E22</f>
        <v>0</v>
      </c>
      <c r="F21" s="151">
        <f>'ცვლილების აქტი'!F22</f>
        <v>0</v>
      </c>
      <c r="G21" s="151">
        <f>'ცვლილების აქტი'!J22</f>
        <v>0</v>
      </c>
      <c r="H21" s="151">
        <f t="shared" si="0"/>
        <v>0</v>
      </c>
      <c r="I21" s="151">
        <f t="shared" si="1"/>
        <v>344.7</v>
      </c>
      <c r="J21" s="151">
        <f>'ცვლილების აქტი'!I22</f>
        <v>0</v>
      </c>
    </row>
    <row r="22" spans="1:10" ht="28.5">
      <c r="A22" s="113">
        <f>'ცვლილების აქტი'!A23</f>
        <v>11</v>
      </c>
      <c r="B22" s="114" t="str">
        <f>'ცვლილების აქტი'!B23</f>
        <v xml:space="preserve">ჭების ქვეშ  ქვიშა-ხრეშოვანი ბალიშის მოწყობა 10 სმ </v>
      </c>
      <c r="C22" s="115" t="str">
        <f>'ცვლილების აქტი'!C23</f>
        <v>მ3</v>
      </c>
      <c r="D22" s="151">
        <f>'ცვლილების აქტი'!D23</f>
        <v>15</v>
      </c>
      <c r="E22" s="151">
        <f>'ცვლილების აქტი'!E23</f>
        <v>23.09</v>
      </c>
      <c r="F22" s="151">
        <f>'ცვლილების აქტი'!F23</f>
        <v>346.35</v>
      </c>
      <c r="G22" s="151">
        <f>'ცვლილების აქტი'!J23</f>
        <v>0</v>
      </c>
      <c r="H22" s="151">
        <f t="shared" si="0"/>
        <v>0</v>
      </c>
      <c r="I22" s="151">
        <f t="shared" si="1"/>
        <v>15</v>
      </c>
      <c r="J22" s="151">
        <f>'ცვლილების აქტი'!I23</f>
        <v>346.35</v>
      </c>
    </row>
    <row r="23" spans="1:10" ht="42.75">
      <c r="A23" s="113">
        <f>'ცვლილების აქტი'!A24</f>
        <v>12</v>
      </c>
      <c r="B23" s="114" t="str">
        <f>'ცვლილების აქტი'!B24</f>
        <v>კანალიზაციის პოლიეთილენის გოფრირებული მილის შეძენა, მოწყობა  და გამოცდა SN8 ჰერმეტულობაზე  d=400მმ</v>
      </c>
      <c r="C23" s="115" t="str">
        <f>'ცვლილების აქტი'!C24</f>
        <v>მ</v>
      </c>
      <c r="D23" s="151">
        <f>'ცვლილების აქტი'!D24</f>
        <v>680</v>
      </c>
      <c r="E23" s="151">
        <f>'ცვლილების აქტი'!E24</f>
        <v>7.3</v>
      </c>
      <c r="F23" s="151">
        <f>'ცვლილების აქტი'!F24</f>
        <v>4964</v>
      </c>
      <c r="G23" s="151">
        <f>'ცვლილების აქტი'!J24</f>
        <v>0</v>
      </c>
      <c r="H23" s="151">
        <f t="shared" si="0"/>
        <v>0</v>
      </c>
      <c r="I23" s="151">
        <f t="shared" si="1"/>
        <v>680</v>
      </c>
      <c r="J23" s="151">
        <f>'ცვლილების აქტი'!I24</f>
        <v>4964</v>
      </c>
    </row>
    <row r="24" spans="1:10" ht="42.75">
      <c r="A24" s="113">
        <f>'ცვლილების აქტი'!A25</f>
        <v>13</v>
      </c>
      <c r="B24" s="114" t="str">
        <f>'ცვლილების აქტი'!B25</f>
        <v>კანალიზაციის პოლიეთილენის გოფრირებული მილის შეძენა, მოწყობა  და გამოცდა SN8 ჰერმეტულობაზე  d=300 მმ</v>
      </c>
      <c r="C24" s="115" t="str">
        <f>'ცვლილების აქტი'!C25</f>
        <v>მ</v>
      </c>
      <c r="D24" s="151">
        <f>'ცვლილების აქტი'!D25</f>
        <v>120</v>
      </c>
      <c r="E24" s="151">
        <f>'ცვლილების აქტი'!E25</f>
        <v>5.4</v>
      </c>
      <c r="F24" s="151">
        <f>'ცვლილების აქტი'!F25</f>
        <v>648</v>
      </c>
      <c r="G24" s="151">
        <f>'ცვლილების აქტი'!J25</f>
        <v>0</v>
      </c>
      <c r="H24" s="151">
        <f t="shared" si="0"/>
        <v>0</v>
      </c>
      <c r="I24" s="151">
        <f t="shared" si="1"/>
        <v>120</v>
      </c>
      <c r="J24" s="151">
        <f>'ცვლილების აქტი'!I25</f>
        <v>648</v>
      </c>
    </row>
    <row r="25" spans="1:10" ht="42.75">
      <c r="A25" s="113">
        <f>'ცვლილების აქტი'!A26</f>
        <v>14</v>
      </c>
      <c r="B25" s="114" t="str">
        <f>'ცვლილების აქტი'!B26</f>
        <v>კანალიზაციის პოლიეთილენის გოფრირებული მილის შეძენა, მოწყობა  და გამოცდა SN8 ჰერმეტულობაზე  d=200 მმ</v>
      </c>
      <c r="C25" s="115" t="str">
        <f>'ცვლილების აქტი'!C26</f>
        <v>მ</v>
      </c>
      <c r="D25" s="151">
        <f>'ცვლილების აქტი'!D26</f>
        <v>100</v>
      </c>
      <c r="E25" s="151">
        <f>'ცვლილების აქტი'!E26</f>
        <v>4.7</v>
      </c>
      <c r="F25" s="151">
        <f>'ცვლილების აქტი'!F26</f>
        <v>470</v>
      </c>
      <c r="G25" s="151">
        <f>'ცვლილების აქტი'!J26</f>
        <v>0</v>
      </c>
      <c r="H25" s="151">
        <f t="shared" si="0"/>
        <v>0</v>
      </c>
      <c r="I25" s="151">
        <f t="shared" si="1"/>
        <v>100</v>
      </c>
      <c r="J25" s="151">
        <f>'ცვლილების აქტი'!I26</f>
        <v>470</v>
      </c>
    </row>
    <row r="26" spans="1:10" ht="42.75">
      <c r="A26" s="113">
        <f>'ცვლილების აქტი'!A27</f>
        <v>15</v>
      </c>
      <c r="B26" s="114" t="str">
        <f>'ცვლილების აქტი'!B27</f>
        <v>კანალიზაციის პოლიეთილენის გოფრირებული მილის შეძენა, მოწყობა  და გამოცდა SN8 ჰერმეტულობაზე  d=150 მმ</v>
      </c>
      <c r="C26" s="115" t="str">
        <f>'ცვლილების აქტი'!C27</f>
        <v>მ</v>
      </c>
      <c r="D26" s="151">
        <f>'ცვლილების აქტი'!D27</f>
        <v>400</v>
      </c>
      <c r="E26" s="151">
        <f>'ცვლილების აქტი'!E27</f>
        <v>4</v>
      </c>
      <c r="F26" s="151">
        <f>'ცვლილების აქტი'!F27</f>
        <v>1600</v>
      </c>
      <c r="G26" s="151">
        <f>'ცვლილების აქტი'!J27</f>
        <v>0</v>
      </c>
      <c r="H26" s="151">
        <f t="shared" si="0"/>
        <v>0</v>
      </c>
      <c r="I26" s="151">
        <f t="shared" si="1"/>
        <v>400</v>
      </c>
      <c r="J26" s="151">
        <f>'ცვლილების აქტი'!I27</f>
        <v>1600</v>
      </c>
    </row>
    <row r="27" spans="1:10" ht="71.25">
      <c r="A27" s="113">
        <f>'ცვლილების აქტი'!A28</f>
        <v>16</v>
      </c>
      <c r="B27" s="114" t="str">
        <f>'ცვლილების აქტი'!B28</f>
        <v>რ/ბ ანაკრები წრიული ჭის   (9 ცალი) შეძენა -  მონტაჟი, რკბ. ძირის ფილით, რკბ რგოლებით, რკბ. გადახურვის ფილა თუჯის ხუფით D=1.0 მ H-2.8 მ  გამირების მოწყობის გათვალისწინებით</v>
      </c>
      <c r="C27" s="115" t="str">
        <f>'ცვლილების აქტი'!C28</f>
        <v>ც</v>
      </c>
      <c r="D27" s="151">
        <f>'ცვლილების აქტი'!D28</f>
        <v>9</v>
      </c>
      <c r="E27" s="151">
        <f>'ცვლილების აქტი'!E28</f>
        <v>201.96899999999997</v>
      </c>
      <c r="F27" s="151">
        <f>'ცვლილების აქტი'!F28</f>
        <v>1817.7209999999998</v>
      </c>
      <c r="G27" s="151">
        <f>'ცვლილების აქტი'!J28</f>
        <v>0</v>
      </c>
      <c r="H27" s="151">
        <f t="shared" si="0"/>
        <v>0</v>
      </c>
      <c r="I27" s="151">
        <f t="shared" si="1"/>
        <v>9</v>
      </c>
      <c r="J27" s="151">
        <f>'ცვლილების აქტი'!I28</f>
        <v>1817.7209999999998</v>
      </c>
    </row>
    <row r="28" spans="1:10">
      <c r="A28" s="113">
        <f>'ცვლილების აქტი'!A29</f>
        <v>17</v>
      </c>
      <c r="B28" s="114" t="str">
        <f>'ცვლილების აქტი'!B29</f>
        <v>რკინა-ბეტონის რგოლი D=1000მმ/1მ</v>
      </c>
      <c r="C28" s="115" t="str">
        <f>'ცვლილების აქტი'!C29</f>
        <v>ც</v>
      </c>
      <c r="D28" s="151">
        <f>'ცვლილების აქტი'!D29</f>
        <v>25</v>
      </c>
      <c r="E28" s="151">
        <f>'ცვლილების აქტი'!E29</f>
        <v>80.569999999999993</v>
      </c>
      <c r="F28" s="151">
        <f>'ცვლილების აქტი'!F29</f>
        <v>2014.2499999999998</v>
      </c>
      <c r="G28" s="151">
        <f>'ცვლილების აქტი'!J29</f>
        <v>0</v>
      </c>
      <c r="H28" s="151">
        <f t="shared" si="0"/>
        <v>0</v>
      </c>
      <c r="I28" s="151">
        <f t="shared" si="1"/>
        <v>25</v>
      </c>
      <c r="J28" s="151">
        <f>'ცვლილების აქტი'!I29</f>
        <v>2014.2499999999998</v>
      </c>
    </row>
    <row r="29" spans="1:10">
      <c r="A29" s="113">
        <f>'ცვლილების აქტი'!A30</f>
        <v>18</v>
      </c>
      <c r="B29" s="114" t="str">
        <f>'ცვლილების აქტი'!B30</f>
        <v>რკინა-ბეტონის ძირის ფილა D=1200მმ</v>
      </c>
      <c r="C29" s="115" t="str">
        <f>'ცვლილების აქტი'!C30</f>
        <v>ც</v>
      </c>
      <c r="D29" s="151">
        <f>'ცვლილების აქტი'!D30</f>
        <v>9</v>
      </c>
      <c r="E29" s="151">
        <f>'ცვლილების აქტი'!E30</f>
        <v>40.299999999999997</v>
      </c>
      <c r="F29" s="151">
        <f>'ცვლილების აქტი'!F30</f>
        <v>362.7</v>
      </c>
      <c r="G29" s="151">
        <f>'ცვლილების აქტი'!J30</f>
        <v>0</v>
      </c>
      <c r="H29" s="151">
        <f t="shared" si="0"/>
        <v>0</v>
      </c>
      <c r="I29" s="151">
        <f t="shared" si="1"/>
        <v>9</v>
      </c>
      <c r="J29" s="151">
        <f>'ცვლილების აქტი'!I30</f>
        <v>362.7</v>
      </c>
    </row>
    <row r="30" spans="1:10">
      <c r="A30" s="113">
        <f>'ცვლილების აქტი'!A31</f>
        <v>19</v>
      </c>
      <c r="B30" s="114" t="str">
        <f>'ცვლილების აქტი'!B31</f>
        <v>რკინა-ბეტონის ძირის ფილა D=1200მმ</v>
      </c>
      <c r="C30" s="115" t="str">
        <f>'ცვლილების აქტი'!C31</f>
        <v>ც</v>
      </c>
      <c r="D30" s="151">
        <f>'ცვლილების აქტი'!D31</f>
        <v>9</v>
      </c>
      <c r="E30" s="151">
        <f>'ცვლილების აქტი'!E31</f>
        <v>35.630000000000003</v>
      </c>
      <c r="F30" s="151">
        <f>'ცვლილების აქტი'!F31</f>
        <v>320.67</v>
      </c>
      <c r="G30" s="151">
        <f>'ცვლილების აქტი'!J31</f>
        <v>0</v>
      </c>
      <c r="H30" s="151">
        <f t="shared" si="0"/>
        <v>0</v>
      </c>
      <c r="I30" s="151">
        <f t="shared" si="1"/>
        <v>9</v>
      </c>
      <c r="J30" s="151">
        <f>'ცვლილების აქტი'!I31</f>
        <v>320.67</v>
      </c>
    </row>
    <row r="31" spans="1:10" ht="71.25">
      <c r="A31" s="113">
        <f>'ცვლილების აქტი'!A32</f>
        <v>20</v>
      </c>
      <c r="B31" s="114" t="str">
        <f>'ცვლილების აქტი'!B32</f>
        <v>რ/ბ ანაკრები წრიული ჭის  (14 ცალი) შეძენა -  მონტაჟი, რკბ. ძირის ფილით, რკბ რგოლებით, რკბ. გადახურვის ფილა თუჯის ხუფით D=1.5 მ H-3.3 მ  გამირების მოწყობის გათვალისწინებით</v>
      </c>
      <c r="C31" s="115" t="str">
        <f>'ცვლილების აქტი'!C32</f>
        <v>ც</v>
      </c>
      <c r="D31" s="151">
        <f>'ცვლილების აქტი'!D32</f>
        <v>14</v>
      </c>
      <c r="E31" s="151">
        <f>'ცვლილების აქტი'!E32</f>
        <v>212.04000000000002</v>
      </c>
      <c r="F31" s="151">
        <f>'ცვლილების აქტი'!F32</f>
        <v>2968.5600000000004</v>
      </c>
      <c r="G31" s="151">
        <f>'ცვლილების აქტი'!J32</f>
        <v>0</v>
      </c>
      <c r="H31" s="151">
        <f t="shared" si="0"/>
        <v>0</v>
      </c>
      <c r="I31" s="151">
        <f t="shared" si="1"/>
        <v>14</v>
      </c>
      <c r="J31" s="151">
        <f>'ცვლილების აქტი'!I32</f>
        <v>2968.5600000000004</v>
      </c>
    </row>
    <row r="32" spans="1:10">
      <c r="A32" s="113">
        <f>'ცვლილების აქტი'!A33</f>
        <v>21</v>
      </c>
      <c r="B32" s="114" t="str">
        <f>'ცვლილების აქტი'!B33</f>
        <v>რკინა-ბეტონის რგოლი D=1500მმ/1მ</v>
      </c>
      <c r="C32" s="115" t="str">
        <f>'ცვლილების აქტი'!C33</f>
        <v>ც</v>
      </c>
      <c r="D32" s="151">
        <f>'ცვლილების აქტი'!D33</f>
        <v>42</v>
      </c>
      <c r="E32" s="151">
        <f>'ცვლილების აქტი'!E33</f>
        <v>123.04999999999998</v>
      </c>
      <c r="F32" s="151">
        <f>'ცვლილების აქტი'!F33</f>
        <v>5168.0999999999995</v>
      </c>
      <c r="G32" s="151">
        <f>'ცვლილების აქტი'!J33</f>
        <v>0</v>
      </c>
      <c r="H32" s="151">
        <f t="shared" si="0"/>
        <v>0</v>
      </c>
      <c r="I32" s="151">
        <f t="shared" si="1"/>
        <v>42</v>
      </c>
      <c r="J32" s="151">
        <f>'ცვლილების აქტი'!I33</f>
        <v>5168.0999999999995</v>
      </c>
    </row>
    <row r="33" spans="1:10">
      <c r="A33" s="113">
        <f>'ცვლილების აქტი'!A34</f>
        <v>22</v>
      </c>
      <c r="B33" s="114" t="str">
        <f>'ცვლილების აქტი'!B34</f>
        <v>რკინა-ბეტონის რგოლი D=1500მმ/0.5მ</v>
      </c>
      <c r="C33" s="115" t="str">
        <f>'ცვლილების აქტი'!C34</f>
        <v>ც</v>
      </c>
      <c r="D33" s="151">
        <f>'ცვლილების აქტი'!D34</f>
        <v>6</v>
      </c>
      <c r="E33" s="151">
        <f>'ცვლილების აქტი'!E34</f>
        <v>61.57</v>
      </c>
      <c r="F33" s="151">
        <f>'ცვლილების აქტი'!F34</f>
        <v>369.42</v>
      </c>
      <c r="G33" s="151">
        <f>'ცვლილების აქტი'!J34</f>
        <v>0</v>
      </c>
      <c r="H33" s="151">
        <f t="shared" si="0"/>
        <v>0</v>
      </c>
      <c r="I33" s="151">
        <f t="shared" si="1"/>
        <v>6</v>
      </c>
      <c r="J33" s="151">
        <f>'ცვლილების აქტი'!I34</f>
        <v>369.42</v>
      </c>
    </row>
    <row r="34" spans="1:10">
      <c r="A34" s="113">
        <f>'ცვლილების აქტი'!A35</f>
        <v>23</v>
      </c>
      <c r="B34" s="114" t="str">
        <f>'ცვლილების აქტი'!B35</f>
        <v>რკინა-ბეტონის ძირის ფილა D=1700მმ</v>
      </c>
      <c r="C34" s="115" t="str">
        <f>'ცვლილების აქტი'!C35</f>
        <v>ც</v>
      </c>
      <c r="D34" s="151">
        <f>'ცვლილების აქტი'!D35</f>
        <v>14</v>
      </c>
      <c r="E34" s="151">
        <f>'ცვლილების აქტი'!E35</f>
        <v>68.7</v>
      </c>
      <c r="F34" s="151">
        <f>'ცვლილების აქტი'!F35</f>
        <v>961.80000000000007</v>
      </c>
      <c r="G34" s="151">
        <f>'ცვლილების აქტი'!J35</f>
        <v>0</v>
      </c>
      <c r="H34" s="151">
        <f t="shared" si="0"/>
        <v>0</v>
      </c>
      <c r="I34" s="151">
        <f t="shared" si="1"/>
        <v>14</v>
      </c>
      <c r="J34" s="151">
        <f>'ცვლილების აქტი'!I35</f>
        <v>961.80000000000007</v>
      </c>
    </row>
    <row r="35" spans="1:10" ht="28.5">
      <c r="A35" s="113">
        <f>'ცვლილების აქტი'!A36</f>
        <v>24</v>
      </c>
      <c r="B35" s="114" t="str">
        <f>'ცვლილების აქტი'!B36</f>
        <v>ჭის გარე ზედაპირის ჰიდროიზოლაცია ბითუმის მასტიკით 2 ფენად</v>
      </c>
      <c r="C35" s="115" t="str">
        <f>'ცვლილების აქტი'!C36</f>
        <v>მ2</v>
      </c>
      <c r="D35" s="151">
        <f>'ცვლილების აქტი'!D36</f>
        <v>86.7</v>
      </c>
      <c r="E35" s="151">
        <f>'ცვლილების აქტი'!E36</f>
        <v>5.8</v>
      </c>
      <c r="F35" s="151">
        <f>'ცვლილების აქტი'!F36</f>
        <v>502.86</v>
      </c>
      <c r="G35" s="151">
        <f>'ცვლილების აქტი'!J36</f>
        <v>0</v>
      </c>
      <c r="H35" s="151">
        <f t="shared" si="0"/>
        <v>0</v>
      </c>
      <c r="I35" s="151">
        <f t="shared" si="1"/>
        <v>86.7</v>
      </c>
      <c r="J35" s="151">
        <f>'ცვლილების აქტი'!I36</f>
        <v>502.86</v>
      </c>
    </row>
    <row r="36" spans="1:10">
      <c r="A36" s="113">
        <f>'ცვლილების აქტი'!A37</f>
        <v>25</v>
      </c>
      <c r="B36" s="114" t="str">
        <f>'ცვლილების აქტი'!B37</f>
        <v xml:space="preserve">ჭის ღარის მოწყობა B-25 მარკის ბეტონით </v>
      </c>
      <c r="C36" s="115" t="str">
        <f>'ცვლილების აქტი'!C37</f>
        <v>მ3</v>
      </c>
      <c r="D36" s="151">
        <f>'ცვლილების აქტი'!D37</f>
        <v>12.65</v>
      </c>
      <c r="E36" s="151">
        <f>'ცვლილების აქტი'!E37</f>
        <v>185.13000000000002</v>
      </c>
      <c r="F36" s="151">
        <f>'ცვლილების აქტი'!F37</f>
        <v>2341.8945000000003</v>
      </c>
      <c r="G36" s="151">
        <f>'ცვლილების აქტი'!J37</f>
        <v>0</v>
      </c>
      <c r="H36" s="151">
        <f t="shared" si="0"/>
        <v>0</v>
      </c>
      <c r="I36" s="151">
        <f t="shared" si="1"/>
        <v>12.65</v>
      </c>
      <c r="J36" s="151">
        <f>'ცვლილების აქტი'!I37</f>
        <v>2341.8945000000003</v>
      </c>
    </row>
    <row r="37" spans="1:10">
      <c r="A37" s="113">
        <f>'ცვლილების აქტი'!A38</f>
        <v>26</v>
      </c>
      <c r="B37" s="114" t="str">
        <f>'ცვლილების აქტი'!B38</f>
        <v>არსებულ კანალიზაციის ჭაში შეჭრა</v>
      </c>
      <c r="C37" s="115" t="str">
        <f>'ცვლილების აქტი'!C38</f>
        <v>ადგ.</v>
      </c>
      <c r="D37" s="151">
        <f>'ცვლილების აქტი'!D38</f>
        <v>2</v>
      </c>
      <c r="E37" s="151">
        <f>'ცვლილების აქტი'!E38</f>
        <v>194.87</v>
      </c>
      <c r="F37" s="151">
        <f>'ცვლილების აქტი'!F38</f>
        <v>389.74</v>
      </c>
      <c r="G37" s="151">
        <f>'ცვლილების აქტი'!J38</f>
        <v>0</v>
      </c>
      <c r="H37" s="151">
        <f t="shared" si="0"/>
        <v>0</v>
      </c>
      <c r="I37" s="151">
        <f t="shared" si="1"/>
        <v>2</v>
      </c>
      <c r="J37" s="151">
        <f>'ცვლილების აქტი'!I38</f>
        <v>389.74</v>
      </c>
    </row>
    <row r="38" spans="1:10" ht="28.5">
      <c r="A38" s="113">
        <f>'ცვლილების აქტი'!A39</f>
        <v>27</v>
      </c>
      <c r="B38" s="114" t="str">
        <f>'ცვლილების აქტი'!B39</f>
        <v>მიწის თხრილის კედლების გამაგრება ხის ფარებით</v>
      </c>
      <c r="C38" s="115" t="str">
        <f>'ცვლილების აქტი'!C39</f>
        <v>მ²</v>
      </c>
      <c r="D38" s="151">
        <f>'ცვლილების აქტი'!D39</f>
        <v>6614</v>
      </c>
      <c r="E38" s="151">
        <f>'ცვლილების აქტი'!E39</f>
        <v>1.1500000000000001</v>
      </c>
      <c r="F38" s="151">
        <f>'ცვლილების აქტი'!F39</f>
        <v>7606.1000000000013</v>
      </c>
      <c r="G38" s="151">
        <f>'ცვლილების აქტი'!J39</f>
        <v>0</v>
      </c>
      <c r="H38" s="151">
        <f t="shared" si="0"/>
        <v>0</v>
      </c>
      <c r="I38" s="151">
        <f t="shared" si="1"/>
        <v>6614</v>
      </c>
      <c r="J38" s="151">
        <f>'ცვლილების აქტი'!I39</f>
        <v>7606.1000000000013</v>
      </c>
    </row>
    <row r="39" spans="1:10">
      <c r="A39" s="113"/>
      <c r="B39" s="116" t="str">
        <f>'ცვლილების აქტი'!B40</f>
        <v>სულ პირდაპირი ხარჯი</v>
      </c>
      <c r="C39" s="117"/>
      <c r="D39" s="119"/>
      <c r="E39" s="119"/>
      <c r="F39" s="119">
        <f>'ცვლილების აქტი'!F40</f>
        <v>178171.82749999998</v>
      </c>
      <c r="G39" s="119"/>
      <c r="H39" s="119">
        <f>SUM(H11:H38)</f>
        <v>690.56000000000017</v>
      </c>
      <c r="I39" s="119"/>
      <c r="J39" s="119">
        <f>'ცვლილების აქტი'!I40</f>
        <v>179515.1875</v>
      </c>
    </row>
    <row r="40" spans="1:10">
      <c r="A40" s="113"/>
      <c r="B40" s="116" t="str">
        <f>'ცვლილების აქტი'!B41</f>
        <v>ზედნადები ხარჯი</v>
      </c>
      <c r="C40" s="118">
        <f>'ცვლილების აქტი'!C41</f>
        <v>0.1</v>
      </c>
      <c r="D40" s="119"/>
      <c r="E40" s="119"/>
      <c r="F40" s="119">
        <f>'ცვლილების აქტი'!F41</f>
        <v>17817.18275</v>
      </c>
      <c r="G40" s="119"/>
      <c r="H40" s="119">
        <f>H39*C40</f>
        <v>69.056000000000026</v>
      </c>
      <c r="I40" s="119"/>
      <c r="J40" s="119">
        <f>'ცვლილების აქტი'!I41</f>
        <v>17951.518749999999</v>
      </c>
    </row>
    <row r="41" spans="1:10">
      <c r="A41" s="113"/>
      <c r="B41" s="116" t="str">
        <f>'ცვლილების აქტი'!B42</f>
        <v>ჯამი</v>
      </c>
      <c r="C41" s="118"/>
      <c r="D41" s="119"/>
      <c r="E41" s="119"/>
      <c r="F41" s="119">
        <f>'ცვლილების აქტი'!F42</f>
        <v>195989.01024999999</v>
      </c>
      <c r="G41" s="119"/>
      <c r="H41" s="119">
        <f>H39+H40</f>
        <v>759.61600000000021</v>
      </c>
      <c r="I41" s="119"/>
      <c r="J41" s="119">
        <f>'ცვლილების აქტი'!I42</f>
        <v>197466.70624999999</v>
      </c>
    </row>
    <row r="42" spans="1:10">
      <c r="A42" s="113"/>
      <c r="B42" s="116" t="str">
        <f>'ცვლილების აქტი'!B43</f>
        <v>გეგმიური დაგროვება</v>
      </c>
      <c r="C42" s="118">
        <f>'ცვლილების აქტი'!C43</f>
        <v>0.08</v>
      </c>
      <c r="D42" s="119"/>
      <c r="E42" s="119"/>
      <c r="F42" s="119">
        <f>'ცვლილების აქტი'!F43</f>
        <v>15679.12082</v>
      </c>
      <c r="G42" s="119"/>
      <c r="H42" s="119">
        <f>H41*C42</f>
        <v>60.769280000000016</v>
      </c>
      <c r="I42" s="119"/>
      <c r="J42" s="119">
        <f>'ცვლილების აქტი'!I43</f>
        <v>15797.336499999999</v>
      </c>
    </row>
    <row r="43" spans="1:10">
      <c r="A43" s="113"/>
      <c r="B43" s="116" t="str">
        <f>'ცვლილების აქტი'!B44</f>
        <v>ჯამი</v>
      </c>
      <c r="C43" s="118"/>
      <c r="D43" s="119"/>
      <c r="E43" s="119"/>
      <c r="F43" s="119">
        <f>'ცვლილების აქტი'!F44</f>
        <v>211668.13107</v>
      </c>
      <c r="G43" s="119"/>
      <c r="H43" s="119">
        <f>H42+H41</f>
        <v>820.38528000000019</v>
      </c>
      <c r="I43" s="119"/>
      <c r="J43" s="119">
        <f>'ცვლილების აქტი'!I44</f>
        <v>213264.04274999999</v>
      </c>
    </row>
    <row r="44" spans="1:10">
      <c r="A44" s="113"/>
      <c r="B44" s="116" t="str">
        <f>'ცვლილების აქტი'!B45</f>
        <v>გაუთვალისწინებელი ხარჯი</v>
      </c>
      <c r="C44" s="118">
        <f>'ცვლილების აქტი'!C45</f>
        <v>0.03</v>
      </c>
      <c r="D44" s="119"/>
      <c r="E44" s="119"/>
      <c r="F44" s="119">
        <f>'ცვლილების აქტი'!F45</f>
        <v>6350.0439320999994</v>
      </c>
      <c r="G44" s="119"/>
      <c r="H44" s="169">
        <v>0</v>
      </c>
      <c r="I44" s="119"/>
      <c r="J44" s="152">
        <f>'ცვლილების აქტი'!I45</f>
        <v>0</v>
      </c>
    </row>
    <row r="45" spans="1:10">
      <c r="A45" s="113"/>
      <c r="B45" s="116" t="str">
        <f>'ცვლილების აქტი'!B46</f>
        <v>ჯამი</v>
      </c>
      <c r="C45" s="118"/>
      <c r="D45" s="119"/>
      <c r="E45" s="119"/>
      <c r="F45" s="119">
        <f>'ცვლილების აქტი'!F46</f>
        <v>218018.1750021</v>
      </c>
      <c r="G45" s="119"/>
      <c r="H45" s="119">
        <f>H44+H43</f>
        <v>820.38528000000019</v>
      </c>
      <c r="I45" s="119"/>
      <c r="J45" s="119">
        <f>'ცვლილების აქტი'!I46</f>
        <v>213264.04274999999</v>
      </c>
    </row>
    <row r="46" spans="1:10">
      <c r="A46" s="113"/>
      <c r="B46" s="116" t="str">
        <f>'ცვლილების აქტი'!B47</f>
        <v xml:space="preserve">დღგ:    </v>
      </c>
      <c r="C46" s="118">
        <f>'ცვლილების აქტი'!C47</f>
        <v>0.18</v>
      </c>
      <c r="D46" s="119"/>
      <c r="E46" s="119"/>
      <c r="F46" s="119">
        <f>'ცვლილების აქტი'!F47</f>
        <v>39243.271500377996</v>
      </c>
      <c r="G46" s="119"/>
      <c r="H46" s="119">
        <f>H45*C46</f>
        <v>147.66935040000004</v>
      </c>
      <c r="I46" s="119"/>
      <c r="J46" s="119">
        <f>'ცვლილების აქტი'!I47</f>
        <v>38387.527694999997</v>
      </c>
    </row>
    <row r="47" spans="1:10">
      <c r="A47" s="113"/>
      <c r="B47" s="116" t="str">
        <f>'ცვლილების აქტი'!B48</f>
        <v>სულ ხარჯთაღრიცხვით</v>
      </c>
      <c r="C47" s="117"/>
      <c r="D47" s="119"/>
      <c r="E47" s="119"/>
      <c r="F47" s="119">
        <f>'ცვლილების აქტი'!F48</f>
        <v>257261.44650247801</v>
      </c>
      <c r="G47" s="119"/>
      <c r="H47" s="119">
        <f>H46+H45</f>
        <v>968.05463040000018</v>
      </c>
      <c r="I47" s="119"/>
      <c r="J47" s="119">
        <f>'ცვლილების აქტი'!I48</f>
        <v>251651.57044499999</v>
      </c>
    </row>
  </sheetData>
  <mergeCells count="5">
    <mergeCell ref="A9:A10"/>
    <mergeCell ref="B9:B10"/>
    <mergeCell ref="C9:F9"/>
    <mergeCell ref="I9:J9"/>
    <mergeCell ref="G9:H9"/>
  </mergeCells>
  <pageMargins left="0.22222222222222221" right="0.19444444444444445" top="0.21527777777777779" bottom="0.20833333333333334" header="0.3" footer="0.3"/>
  <pageSetup orientation="landscape" r:id="rId1"/>
  <ignoredErrors>
    <ignoredError sqref="H41:H43 H45:H4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5"/>
  <sheetViews>
    <sheetView zoomScale="80" zoomScaleNormal="80" workbookViewId="0">
      <selection activeCell="H36" sqref="H36"/>
    </sheetView>
  </sheetViews>
  <sheetFormatPr defaultColWidth="8.85546875" defaultRowHeight="14.25"/>
  <cols>
    <col min="1" max="1" width="2.7109375" style="94" customWidth="1"/>
    <col min="2" max="2" width="31.28515625" style="94" customWidth="1"/>
    <col min="3" max="3" width="13.5703125" style="94" customWidth="1"/>
    <col min="4" max="4" width="24.28515625" style="95" customWidth="1"/>
    <col min="5" max="5" width="20.5703125" style="95" customWidth="1"/>
    <col min="6" max="6" width="20.28515625" style="95" customWidth="1"/>
    <col min="7" max="7" width="15.7109375" style="95" customWidth="1"/>
    <col min="8" max="8" width="34.28515625" style="95" customWidth="1"/>
    <col min="9" max="9" width="17.140625" style="96" customWidth="1"/>
    <col min="10" max="10" width="11.85546875" style="94" customWidth="1"/>
    <col min="11" max="11" width="10.7109375" style="94" customWidth="1"/>
    <col min="12" max="16384" width="8.85546875" style="94"/>
  </cols>
  <sheetData>
    <row r="3" spans="2:11" s="92" customFormat="1" ht="31.5" customHeight="1">
      <c r="B3" s="167" t="s">
        <v>106</v>
      </c>
      <c r="C3" s="167"/>
      <c r="D3" s="167"/>
      <c r="E3" s="167"/>
      <c r="F3" s="167"/>
      <c r="G3" s="167"/>
      <c r="H3" s="167"/>
    </row>
    <row r="4" spans="2:11" s="92" customFormat="1" ht="12.75" customHeight="1">
      <c r="B4" s="168" t="s">
        <v>107</v>
      </c>
      <c r="C4" s="168"/>
      <c r="D4" s="168"/>
      <c r="E4" s="168"/>
      <c r="F4" s="168"/>
      <c r="G4" s="168"/>
      <c r="H4" s="168"/>
    </row>
    <row r="5" spans="2:11" s="92" customFormat="1" ht="15.95" customHeight="1">
      <c r="C5" s="122"/>
      <c r="F5" s="144"/>
      <c r="G5" s="144"/>
      <c r="I5" s="144"/>
      <c r="J5" s="144"/>
      <c r="K5" s="144"/>
    </row>
    <row r="6" spans="2:11" s="92" customFormat="1">
      <c r="C6" s="122"/>
      <c r="D6" s="122"/>
    </row>
    <row r="7" spans="2:11" s="92" customFormat="1">
      <c r="B7" s="100" t="s">
        <v>184</v>
      </c>
      <c r="C7" s="120" t="s">
        <v>185</v>
      </c>
      <c r="D7" s="122"/>
      <c r="I7" s="100"/>
    </row>
    <row r="8" spans="2:11" s="100" customFormat="1">
      <c r="B8" s="100" t="s">
        <v>2</v>
      </c>
      <c r="C8" s="120"/>
      <c r="D8" s="101"/>
    </row>
    <row r="9" spans="2:11" s="96" customFormat="1">
      <c r="B9" s="96" t="s">
        <v>108</v>
      </c>
      <c r="C9" s="121"/>
    </row>
    <row r="10" spans="2:11" s="96" customFormat="1">
      <c r="B10" s="96" t="s">
        <v>170</v>
      </c>
      <c r="C10" s="121"/>
    </row>
    <row r="11" spans="2:11" s="96" customFormat="1">
      <c r="B11" s="96" t="s">
        <v>169</v>
      </c>
      <c r="C11" s="121"/>
    </row>
    <row r="12" spans="2:11" s="103" customFormat="1">
      <c r="B12" s="103" t="s">
        <v>171</v>
      </c>
      <c r="C12" s="123"/>
    </row>
    <row r="13" spans="2:11" s="96" customFormat="1">
      <c r="B13" s="103" t="s">
        <v>172</v>
      </c>
      <c r="C13" s="123"/>
    </row>
    <row r="14" spans="2:11" s="96" customFormat="1">
      <c r="B14" s="103" t="s">
        <v>173</v>
      </c>
      <c r="C14" s="123"/>
    </row>
    <row r="15" spans="2:11" s="96" customFormat="1">
      <c r="B15" s="103" t="s">
        <v>174</v>
      </c>
      <c r="C15" s="123"/>
    </row>
    <row r="16" spans="2:11" ht="16.149999999999999" customHeight="1"/>
    <row r="17" spans="1:11" s="102" customFormat="1" ht="63.75" customHeight="1" thickBot="1">
      <c r="B17" s="124" t="s">
        <v>105</v>
      </c>
      <c r="C17" s="124" t="s">
        <v>12</v>
      </c>
      <c r="D17" s="125" t="s">
        <v>175</v>
      </c>
      <c r="E17" s="125" t="str">
        <f>'შუალედური ფორმა N2'!K10</f>
        <v>წინა შესრულება, ლარი</v>
      </c>
      <c r="F17" s="125" t="str">
        <f>'შუალედური ფორმა N2'!M10</f>
        <v>მიმდინარე შესრულება, ლარი</v>
      </c>
      <c r="G17" s="125" t="str">
        <f>'შუალედური ფორმა N2'!H10</f>
        <v>ნაზარდი ჯამი, ლარი</v>
      </c>
      <c r="H17" s="173" t="s">
        <v>6</v>
      </c>
    </row>
    <row r="18" spans="1:11" s="96" customFormat="1">
      <c r="B18" s="174" t="s">
        <v>166</v>
      </c>
      <c r="C18" s="174"/>
      <c r="D18" s="127">
        <f>'ცვლილების აქტი'!F46</f>
        <v>218018.1750021</v>
      </c>
      <c r="E18" s="127">
        <f>'შუალედური ფორმა N2'!L45</f>
        <v>15390.977183999998</v>
      </c>
      <c r="F18" s="127">
        <f>'შუალედური ფორმა N2'!N45</f>
        <v>13681.170755999994</v>
      </c>
      <c r="G18" s="127">
        <f>E18+F18</f>
        <v>29072.147939999992</v>
      </c>
      <c r="H18" s="184"/>
      <c r="I18" s="185"/>
      <c r="J18" s="185"/>
    </row>
    <row r="19" spans="1:11" s="96" customFormat="1">
      <c r="B19" s="174" t="s">
        <v>103</v>
      </c>
      <c r="C19" s="175">
        <v>0.18</v>
      </c>
      <c r="D19" s="127">
        <f>'ცვლილების აქტი'!F47</f>
        <v>39243.271500377996</v>
      </c>
      <c r="E19" s="127">
        <f>'შუალედური ფორმა N2'!L46</f>
        <v>2770.3758931199995</v>
      </c>
      <c r="F19" s="127">
        <f>'შუალედური ფორმა N2'!N46</f>
        <v>2462.6107360799988</v>
      </c>
      <c r="G19" s="127">
        <f>G18*C19</f>
        <v>5232.9866291999979</v>
      </c>
      <c r="H19" s="184"/>
      <c r="I19" s="185"/>
      <c r="J19" s="185"/>
    </row>
    <row r="20" spans="1:11" s="96" customFormat="1">
      <c r="B20" s="176" t="s">
        <v>178</v>
      </c>
      <c r="C20" s="177"/>
      <c r="D20" s="172">
        <f>SUM(D18:D19)</f>
        <v>257261.44650247801</v>
      </c>
      <c r="E20" s="172">
        <f t="shared" ref="E20:G20" si="0">SUM(E18:E19)</f>
        <v>18161.353077119998</v>
      </c>
      <c r="F20" s="172">
        <f t="shared" si="0"/>
        <v>16143.781492079994</v>
      </c>
      <c r="G20" s="172">
        <f t="shared" si="0"/>
        <v>34305.134569199989</v>
      </c>
      <c r="H20" s="186"/>
      <c r="I20" s="185"/>
      <c r="J20" s="185"/>
    </row>
    <row r="21" spans="1:11" s="96" customFormat="1">
      <c r="B21" s="178" t="s">
        <v>190</v>
      </c>
      <c r="C21" s="179">
        <v>5.0000000000000001E-3</v>
      </c>
      <c r="D21" s="127" t="s">
        <v>109</v>
      </c>
      <c r="E21" s="127"/>
      <c r="F21" s="127">
        <f>F20*C21*(C14-C13)</f>
        <v>0</v>
      </c>
      <c r="G21" s="127"/>
      <c r="H21" s="184"/>
      <c r="I21" s="185"/>
      <c r="J21" s="185"/>
    </row>
    <row r="22" spans="1:11" s="96" customFormat="1">
      <c r="B22" s="178" t="s">
        <v>104</v>
      </c>
      <c r="C22" s="180">
        <v>500</v>
      </c>
      <c r="D22" s="127" t="s">
        <v>109</v>
      </c>
      <c r="E22" s="127"/>
      <c r="F22" s="127">
        <v>1500</v>
      </c>
      <c r="G22" s="127"/>
      <c r="H22" s="184"/>
      <c r="I22" s="185"/>
      <c r="J22" s="185"/>
    </row>
    <row r="23" spans="1:11" s="96" customFormat="1" ht="15" thickBot="1">
      <c r="B23" s="181" t="s">
        <v>178</v>
      </c>
      <c r="C23" s="182"/>
      <c r="D23" s="183"/>
      <c r="E23" s="183"/>
      <c r="F23" s="130">
        <f>F20-SUMIF(F21:F22,"&gt;0")</f>
        <v>14643.781492079994</v>
      </c>
      <c r="G23" s="130"/>
      <c r="H23" s="187"/>
      <c r="I23" s="185"/>
      <c r="J23" s="185"/>
    </row>
    <row r="24" spans="1:11" s="96" customFormat="1" ht="15" thickTop="1">
      <c r="D24" s="102"/>
      <c r="E24" s="102"/>
      <c r="F24" s="102"/>
      <c r="G24" s="102"/>
      <c r="H24" s="102"/>
    </row>
    <row r="25" spans="1:11" s="96" customFormat="1" ht="13.9" customHeight="1">
      <c r="B25" s="97" t="s">
        <v>1</v>
      </c>
      <c r="C25" s="98"/>
      <c r="D25" s="95"/>
      <c r="E25" s="99" t="s">
        <v>2</v>
      </c>
      <c r="F25" s="170"/>
      <c r="G25" s="99" t="s">
        <v>197</v>
      </c>
      <c r="H25" s="170"/>
    </row>
    <row r="26" spans="1:11" s="121" customFormat="1">
      <c r="A26" s="131"/>
      <c r="B26" s="131"/>
      <c r="C26" s="131"/>
      <c r="E26" s="131"/>
      <c r="F26" s="131"/>
    </row>
    <row r="27" spans="1:11" s="121" customFormat="1">
      <c r="B27" s="121" t="s">
        <v>188</v>
      </c>
      <c r="E27" s="121" t="s">
        <v>180</v>
      </c>
      <c r="F27" s="131"/>
      <c r="G27" s="96" t="s">
        <v>198</v>
      </c>
      <c r="H27" s="188">
        <f>G20/D20</f>
        <v>0.13334735941037926</v>
      </c>
    </row>
    <row r="28" spans="1:11" s="121" customFormat="1">
      <c r="A28" s="131"/>
      <c r="B28" s="121" t="s">
        <v>179</v>
      </c>
      <c r="E28" s="121" t="s">
        <v>181</v>
      </c>
      <c r="F28" s="131"/>
      <c r="G28" s="96" t="s">
        <v>5</v>
      </c>
      <c r="H28" s="188">
        <f>100%-H27</f>
        <v>0.86665264058962077</v>
      </c>
      <c r="J28" s="132"/>
      <c r="K28" s="132"/>
    </row>
    <row r="29" spans="1:11" s="121" customFormat="1">
      <c r="A29" s="131"/>
      <c r="E29" s="133"/>
      <c r="F29" s="131"/>
      <c r="J29" s="132"/>
      <c r="K29" s="132"/>
    </row>
    <row r="30" spans="1:11" s="121" customFormat="1">
      <c r="A30" s="131"/>
      <c r="E30" s="133"/>
      <c r="F30" s="131"/>
      <c r="J30" s="132"/>
      <c r="K30" s="132"/>
    </row>
    <row r="31" spans="1:11" s="121" customFormat="1">
      <c r="B31" s="121" t="s">
        <v>189</v>
      </c>
      <c r="C31" s="131"/>
      <c r="E31" s="131"/>
      <c r="F31" s="131"/>
    </row>
    <row r="32" spans="1:11" s="121" customFormat="1">
      <c r="A32" s="131"/>
      <c r="B32" s="121" t="s">
        <v>3</v>
      </c>
      <c r="E32" s="131"/>
      <c r="F32" s="131"/>
    </row>
    <row r="33" spans="1:11" s="121" customFormat="1">
      <c r="A33" s="131"/>
      <c r="E33" s="131"/>
      <c r="F33" s="131"/>
    </row>
    <row r="34" spans="1:11" s="96" customFormat="1" ht="12" customHeight="1">
      <c r="A34" s="170"/>
      <c r="B34" s="121"/>
      <c r="C34" s="121"/>
      <c r="D34" s="121"/>
      <c r="E34" s="121"/>
      <c r="F34" s="171"/>
      <c r="G34" s="170"/>
      <c r="H34" s="170"/>
      <c r="K34" s="170"/>
    </row>
    <row r="35" spans="1:11" s="96" customFormat="1">
      <c r="B35" s="96" t="s">
        <v>183</v>
      </c>
      <c r="C35" s="102"/>
      <c r="D35" s="102"/>
      <c r="E35" s="102"/>
      <c r="F35" s="102"/>
      <c r="G35" s="102"/>
      <c r="H35" s="102"/>
    </row>
    <row r="36" spans="1:11" s="96" customFormat="1">
      <c r="B36" s="121" t="s">
        <v>181</v>
      </c>
      <c r="C36" s="95"/>
      <c r="D36" s="95"/>
      <c r="E36" s="95"/>
      <c r="F36" s="102"/>
      <c r="G36" s="102"/>
      <c r="H36" s="102"/>
    </row>
    <row r="37" spans="1:11" s="96" customFormat="1">
      <c r="B37" s="94"/>
      <c r="C37" s="95"/>
      <c r="D37" s="95"/>
      <c r="E37" s="95"/>
      <c r="F37" s="102"/>
      <c r="G37" s="102"/>
      <c r="H37" s="102"/>
    </row>
    <row r="38" spans="1:11" s="96" customFormat="1">
      <c r="B38" s="94"/>
      <c r="C38" s="95"/>
      <c r="D38" s="95"/>
      <c r="E38" s="95"/>
      <c r="F38" s="102"/>
      <c r="G38" s="102"/>
      <c r="H38" s="102"/>
    </row>
    <row r="39" spans="1:11" s="96" customFormat="1">
      <c r="B39" s="94"/>
      <c r="C39" s="95"/>
      <c r="D39" s="95"/>
      <c r="E39" s="95"/>
      <c r="F39" s="102"/>
      <c r="G39" s="102"/>
      <c r="H39" s="102"/>
    </row>
    <row r="40" spans="1:11" s="96" customFormat="1">
      <c r="D40" s="102"/>
      <c r="E40" s="102"/>
      <c r="F40" s="102"/>
      <c r="G40" s="102"/>
      <c r="H40" s="102"/>
    </row>
    <row r="43" spans="1:11">
      <c r="I43" s="189"/>
      <c r="J43" s="190"/>
    </row>
    <row r="44" spans="1:11">
      <c r="I44" s="189"/>
      <c r="J44" s="191"/>
    </row>
    <row r="45" spans="1:11">
      <c r="I45" s="189"/>
      <c r="J45" s="191"/>
    </row>
  </sheetData>
  <mergeCells count="2">
    <mergeCell ref="B3:H3"/>
    <mergeCell ref="B4:H4"/>
  </mergeCells>
  <pageMargins left="0.10416666666666667" right="0.1736111111111111" top="0.13194444444444445" bottom="0.14583333333333334" header="0.3" footer="0.3"/>
  <pageSetup scale="87" orientation="landscape" r:id="rId1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="80" zoomScaleNormal="80" workbookViewId="0">
      <pane xSplit="4" ySplit="11" topLeftCell="E33" activePane="bottomRight" state="frozen"/>
      <selection pane="topRight" activeCell="E1" sqref="E1"/>
      <selection pane="bottomLeft" activeCell="A12" sqref="A12"/>
      <selection pane="bottomRight" activeCell="G47" sqref="G47:N47"/>
    </sheetView>
  </sheetViews>
  <sheetFormatPr defaultColWidth="8.85546875" defaultRowHeight="14.25"/>
  <cols>
    <col min="1" max="1" width="1.42578125" style="140" customWidth="1"/>
    <col min="2" max="2" width="2.85546875" style="140" bestFit="1" customWidth="1"/>
    <col min="3" max="3" width="31.28515625" style="140" customWidth="1"/>
    <col min="4" max="4" width="8.140625" style="141" customWidth="1"/>
    <col min="5" max="5" width="10.42578125" style="140" customWidth="1"/>
    <col min="6" max="6" width="9.140625" style="140" customWidth="1"/>
    <col min="7" max="7" width="12.28515625" style="140" bestFit="1" customWidth="1"/>
    <col min="8" max="8" width="9.140625" style="140" customWidth="1"/>
    <col min="9" max="9" width="14.140625" style="140" bestFit="1" customWidth="1"/>
    <col min="10" max="10" width="9.140625" style="142" customWidth="1"/>
    <col min="11" max="11" width="9.140625" style="140" customWidth="1"/>
    <col min="12" max="12" width="14.140625" style="140" bestFit="1" customWidth="1"/>
    <col min="13" max="13" width="9.140625" style="140" customWidth="1"/>
    <col min="14" max="14" width="14.140625" style="140" bestFit="1" customWidth="1"/>
    <col min="15" max="15" width="10.140625" style="140" customWidth="1"/>
    <col min="16" max="17" width="8.85546875" style="140"/>
    <col min="18" max="18" width="10.140625" style="140" bestFit="1" customWidth="1"/>
    <col min="19" max="19" width="8.85546875" style="140"/>
    <col min="20" max="20" width="11.7109375" style="140" bestFit="1" customWidth="1"/>
    <col min="21" max="16384" width="8.85546875" style="140"/>
  </cols>
  <sheetData>
    <row r="1" spans="1:16" s="108" customFormat="1">
      <c r="H1" s="109"/>
    </row>
    <row r="2" spans="1:16" s="108" customFormat="1">
      <c r="C2" s="100" t="s">
        <v>184</v>
      </c>
      <c r="D2" s="120" t="s">
        <v>186</v>
      </c>
      <c r="H2" s="109"/>
    </row>
    <row r="3" spans="1:16" s="108" customFormat="1">
      <c r="C3" s="100" t="s">
        <v>2</v>
      </c>
      <c r="D3" s="120"/>
      <c r="H3" s="109"/>
    </row>
    <row r="4" spans="1:16" s="108" customFormat="1">
      <c r="C4" s="96" t="s">
        <v>108</v>
      </c>
      <c r="D4" s="121"/>
      <c r="H4" s="109"/>
    </row>
    <row r="5" spans="1:16" s="108" customFormat="1">
      <c r="C5" s="96" t="s">
        <v>170</v>
      </c>
      <c r="D5" s="121"/>
      <c r="H5" s="109"/>
    </row>
    <row r="6" spans="1:16" s="108" customFormat="1">
      <c r="C6" s="96" t="s">
        <v>169</v>
      </c>
      <c r="D6" s="121"/>
      <c r="H6" s="109"/>
    </row>
    <row r="7" spans="1:16" s="108" customFormat="1">
      <c r="A7" s="110"/>
      <c r="C7" s="103" t="s">
        <v>171</v>
      </c>
      <c r="D7" s="112"/>
    </row>
    <row r="8" spans="1:16" s="108" customFormat="1">
      <c r="A8" s="110"/>
      <c r="B8" s="103"/>
      <c r="C8" s="112"/>
    </row>
    <row r="10" spans="1:16" ht="39" customHeight="1">
      <c r="B10" s="155" t="s">
        <v>110</v>
      </c>
      <c r="C10" s="156" t="s">
        <v>111</v>
      </c>
      <c r="D10" s="156" t="s">
        <v>194</v>
      </c>
      <c r="E10" s="156"/>
      <c r="F10" s="156"/>
      <c r="G10" s="156"/>
      <c r="H10" s="156" t="s">
        <v>192</v>
      </c>
      <c r="I10" s="156"/>
      <c r="J10" s="156"/>
      <c r="K10" s="156" t="s">
        <v>191</v>
      </c>
      <c r="L10" s="156"/>
      <c r="M10" s="158" t="s">
        <v>193</v>
      </c>
      <c r="N10" s="159"/>
    </row>
    <row r="11" spans="1:16" ht="28.5">
      <c r="B11" s="155"/>
      <c r="C11" s="156"/>
      <c r="D11" s="134" t="s">
        <v>12</v>
      </c>
      <c r="E11" s="134" t="s">
        <v>187</v>
      </c>
      <c r="F11" s="134" t="s">
        <v>13</v>
      </c>
      <c r="G11" s="134" t="s">
        <v>167</v>
      </c>
      <c r="H11" s="134" t="s">
        <v>187</v>
      </c>
      <c r="I11" s="134" t="s">
        <v>167</v>
      </c>
      <c r="J11" s="154" t="s">
        <v>0</v>
      </c>
      <c r="K11" s="134" t="s">
        <v>187</v>
      </c>
      <c r="L11" s="134" t="s">
        <v>167</v>
      </c>
      <c r="M11" s="134" t="s">
        <v>187</v>
      </c>
      <c r="N11" s="134" t="s">
        <v>167</v>
      </c>
    </row>
    <row r="12" spans="1:16" ht="25.5">
      <c r="B12" s="145">
        <f>'ცვლილების აქტი'!A12</f>
        <v>1</v>
      </c>
      <c r="C12" s="146" t="str">
        <f>'ცვლილების აქტი'!B12</f>
        <v>ასფალტის საფარის მოხსნა სისქით 10 სმ სანგრევი ჩაქუჩით</v>
      </c>
      <c r="D12" s="147" t="str">
        <f>'ცვლილების აქტი'!C12</f>
        <v>მ3</v>
      </c>
      <c r="E12" s="193">
        <f>'ცვლილების აქტი'!D12</f>
        <v>172.36</v>
      </c>
      <c r="F12" s="193">
        <f>'ცვლილების აქტი'!E12</f>
        <v>5</v>
      </c>
      <c r="G12" s="193">
        <f>'ცვლილების აქტი'!F12</f>
        <v>861.80000000000007</v>
      </c>
      <c r="H12" s="193">
        <f>K12+M12</f>
        <v>20</v>
      </c>
      <c r="I12" s="193">
        <f>H12/E12</f>
        <v>0.11603620329542816</v>
      </c>
      <c r="J12" s="193">
        <f>H12/E12</f>
        <v>0.11603620329542816</v>
      </c>
      <c r="K12" s="193">
        <v>20</v>
      </c>
      <c r="L12" s="193">
        <f t="shared" ref="L12:L38" si="0">K12*F12</f>
        <v>100</v>
      </c>
      <c r="M12" s="193">
        <v>0</v>
      </c>
      <c r="N12" s="193">
        <f t="shared" ref="N12:N38" si="1">M12*F12</f>
        <v>0</v>
      </c>
      <c r="P12" s="143"/>
    </row>
    <row r="13" spans="1:16" ht="38.25">
      <c r="B13" s="148">
        <f>'ცვლილების აქტი'!A14</f>
        <v>2</v>
      </c>
      <c r="C13" s="146" t="str">
        <f>'ცვლილების აქტი'!B14</f>
        <v>დამტვრეული ასფალტის  ნატეხების დატვირთვა ავ/თვითმც. და გატანა   23 კმ</v>
      </c>
      <c r="D13" s="147" t="str">
        <f>'ცვლილების აქტი'!C14</f>
        <v>მ3</v>
      </c>
      <c r="E13" s="194">
        <f>'ცვლილების აქტი'!D14</f>
        <v>172.36</v>
      </c>
      <c r="F13" s="194">
        <f>'ცვლილების აქტი'!E14</f>
        <v>0</v>
      </c>
      <c r="G13" s="194">
        <f>'ცვლილების აქტი'!F14</f>
        <v>0</v>
      </c>
      <c r="H13" s="194">
        <f t="shared" ref="H13:H38" si="2">K13+M13</f>
        <v>40</v>
      </c>
      <c r="I13" s="194">
        <f t="shared" ref="I13:I38" si="3">H13*F13</f>
        <v>0</v>
      </c>
      <c r="J13" s="194">
        <f t="shared" ref="J13:J38" si="4">H13/E13</f>
        <v>0.23207240659085632</v>
      </c>
      <c r="K13" s="194">
        <v>40</v>
      </c>
      <c r="L13" s="194">
        <f t="shared" si="0"/>
        <v>0</v>
      </c>
      <c r="M13" s="194">
        <v>0</v>
      </c>
      <c r="N13" s="194">
        <f t="shared" si="1"/>
        <v>0</v>
      </c>
    </row>
    <row r="14" spans="1:16" ht="51">
      <c r="B14" s="148">
        <f>'ცვლილების აქტი'!A15</f>
        <v>3</v>
      </c>
      <c r="C14" s="146" t="str">
        <f>'ცვლილების აქტი'!B15</f>
        <v>IV კატ. გრუნტის დამუშავება ექსკავატორით ჩამჩის მოცულობით 0.5 მ3  ა/მ დატვირთვით</v>
      </c>
      <c r="D14" s="147" t="str">
        <f>'ცვლილების აქტი'!C15</f>
        <v>მ3</v>
      </c>
      <c r="E14" s="194">
        <f>'ცვლილების აქტი'!D15</f>
        <v>3609</v>
      </c>
      <c r="F14" s="194">
        <f>'ცვლილების აქტი'!E15</f>
        <v>4.87</v>
      </c>
      <c r="G14" s="194">
        <f>'ცვლილების აქტი'!F15</f>
        <v>17575.830000000002</v>
      </c>
      <c r="H14" s="194">
        <f t="shared" si="2"/>
        <v>110</v>
      </c>
      <c r="I14" s="194">
        <f t="shared" si="3"/>
        <v>535.70000000000005</v>
      </c>
      <c r="J14" s="194">
        <f t="shared" si="4"/>
        <v>3.0479357162648935E-2</v>
      </c>
      <c r="K14" s="194">
        <v>50</v>
      </c>
      <c r="L14" s="194">
        <f t="shared" si="0"/>
        <v>243.5</v>
      </c>
      <c r="M14" s="194">
        <v>60</v>
      </c>
      <c r="N14" s="194">
        <f t="shared" si="1"/>
        <v>292.2</v>
      </c>
    </row>
    <row r="15" spans="1:16" ht="38.25">
      <c r="B15" s="148">
        <f>'ცვლილების აქტი'!A16</f>
        <v>4</v>
      </c>
      <c r="C15" s="146" t="str">
        <f>'ცვლილების აქტი'!B16</f>
        <v>IV კატ. გრუნტის დამუშავება ხელით, ავტოთვითმცლელზე დატვირთვით</v>
      </c>
      <c r="D15" s="147" t="str">
        <f>'ცვლილების აქტი'!C16</f>
        <v>მ3</v>
      </c>
      <c r="E15" s="194">
        <f>'ცვლილების აქტი'!D16</f>
        <v>902</v>
      </c>
      <c r="F15" s="194">
        <f>'ცვლილების აქტი'!E16</f>
        <v>12</v>
      </c>
      <c r="G15" s="194">
        <f>'ცვლილების აქტი'!F16</f>
        <v>10824</v>
      </c>
      <c r="H15" s="194">
        <f t="shared" si="2"/>
        <v>135</v>
      </c>
      <c r="I15" s="194">
        <f t="shared" si="3"/>
        <v>1620</v>
      </c>
      <c r="J15" s="194">
        <f t="shared" si="4"/>
        <v>0.14966740576496673</v>
      </c>
      <c r="K15" s="194">
        <v>60</v>
      </c>
      <c r="L15" s="194">
        <f t="shared" si="0"/>
        <v>720</v>
      </c>
      <c r="M15" s="194">
        <v>75</v>
      </c>
      <c r="N15" s="194">
        <f t="shared" si="1"/>
        <v>900</v>
      </c>
    </row>
    <row r="16" spans="1:16" ht="25.5">
      <c r="B16" s="148">
        <f>'ცვლილების აქტი'!A17</f>
        <v>5</v>
      </c>
      <c r="C16" s="146" t="str">
        <f>'ცვლილების აქტი'!B17</f>
        <v>დამუშავებული გრუნტის გატანა ავტოთვითმცლელებით 23 კმ</v>
      </c>
      <c r="D16" s="147" t="str">
        <f>'ცვლილების აქტი'!C17</f>
        <v>ტ</v>
      </c>
      <c r="E16" s="194">
        <f>'ცვლილების აქტი'!D17</f>
        <v>9022</v>
      </c>
      <c r="F16" s="194">
        <f>'ცვლილების აქტი'!E17</f>
        <v>4.3</v>
      </c>
      <c r="G16" s="194">
        <f>'ცვლილების აქტი'!F17</f>
        <v>38794.6</v>
      </c>
      <c r="H16" s="194">
        <f t="shared" si="2"/>
        <v>100</v>
      </c>
      <c r="I16" s="194">
        <f t="shared" si="3"/>
        <v>430</v>
      </c>
      <c r="J16" s="194">
        <f t="shared" si="4"/>
        <v>1.1084016847705609E-2</v>
      </c>
      <c r="K16" s="194">
        <v>70</v>
      </c>
      <c r="L16" s="194">
        <f t="shared" si="0"/>
        <v>301</v>
      </c>
      <c r="M16" s="194">
        <v>30</v>
      </c>
      <c r="N16" s="194">
        <f t="shared" si="1"/>
        <v>129</v>
      </c>
    </row>
    <row r="17" spans="2:14" ht="51">
      <c r="B17" s="148">
        <f>'ცვლილების აქტი'!A18</f>
        <v>6</v>
      </c>
      <c r="C17" s="146" t="str">
        <f>'ცვლილების აქტი'!B18</f>
        <v>ასფალტობეტონის საფარის აღდგენა სისქით 10 სმ მსხვილმარცვლოვანი 6 სმ,  და წვრილმარცვლოვანი 4 სმ</v>
      </c>
      <c r="D17" s="147" t="str">
        <f>'ცვლილების აქტი'!C18</f>
        <v>მ2</v>
      </c>
      <c r="E17" s="194">
        <f>'ცვლილების აქტი'!D18</f>
        <v>1723.58</v>
      </c>
      <c r="F17" s="194">
        <f>'ცვლილების აქტი'!E18</f>
        <v>0</v>
      </c>
      <c r="G17" s="194">
        <f>'ცვლილების აქტი'!F18</f>
        <v>0</v>
      </c>
      <c r="H17" s="194">
        <f t="shared" si="2"/>
        <v>185</v>
      </c>
      <c r="I17" s="194">
        <f t="shared" si="3"/>
        <v>0</v>
      </c>
      <c r="J17" s="194">
        <f t="shared" si="4"/>
        <v>0.10733473351976699</v>
      </c>
      <c r="K17" s="194">
        <v>80</v>
      </c>
      <c r="L17" s="194">
        <f t="shared" si="0"/>
        <v>0</v>
      </c>
      <c r="M17" s="194">
        <v>105</v>
      </c>
      <c r="N17" s="194">
        <f t="shared" si="1"/>
        <v>0</v>
      </c>
    </row>
    <row r="18" spans="2:14" ht="51">
      <c r="B18" s="148">
        <f>'ცვლილების აქტი'!A19</f>
        <v>7</v>
      </c>
      <c r="C18" s="146" t="str">
        <f>'ცვლილების აქტი'!B19</f>
        <v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v>
      </c>
      <c r="D18" s="147" t="str">
        <f>'ცვლილების აქტი'!C19</f>
        <v>მ3</v>
      </c>
      <c r="E18" s="194">
        <f>'ცვლილების აქტი'!D19</f>
        <v>912.3</v>
      </c>
      <c r="F18" s="194">
        <f>'ცვლილების აქტი'!E19</f>
        <v>4.6999999999999993</v>
      </c>
      <c r="G18" s="194">
        <f>'ცვლილების აქტი'!F19</f>
        <v>4287.8099999999995</v>
      </c>
      <c r="H18" s="194">
        <f t="shared" si="2"/>
        <v>210</v>
      </c>
      <c r="I18" s="194">
        <f t="shared" si="3"/>
        <v>986.99999999999989</v>
      </c>
      <c r="J18" s="194">
        <f t="shared" si="4"/>
        <v>0.23018743834265046</v>
      </c>
      <c r="K18" s="194">
        <v>90</v>
      </c>
      <c r="L18" s="194">
        <f t="shared" si="0"/>
        <v>422.99999999999994</v>
      </c>
      <c r="M18" s="194">
        <v>120</v>
      </c>
      <c r="N18" s="194">
        <f t="shared" si="1"/>
        <v>563.99999999999989</v>
      </c>
    </row>
    <row r="19" spans="2:14" ht="38.25">
      <c r="B19" s="148">
        <f>'ცვლილების აქტი'!A20</f>
        <v>8</v>
      </c>
      <c r="C19" s="146" t="str">
        <f>'ცვლილების აქტი'!B20</f>
        <v>ქვიშის საფარის მოწყობა დატკეპნით მილის ქვეშ 10სმ, ზემოდან  20 სმ</v>
      </c>
      <c r="D19" s="147" t="str">
        <f>'ცვლილების აქტი'!C20</f>
        <v>მ3</v>
      </c>
      <c r="E19" s="194">
        <f>'ცვლილების აქტი'!D20</f>
        <v>912.3</v>
      </c>
      <c r="F19" s="194">
        <f>'ცვლილების აქტი'!E20</f>
        <v>22.56</v>
      </c>
      <c r="G19" s="194">
        <f>'ცვლილების აქტი'!F20</f>
        <v>20581.487999999998</v>
      </c>
      <c r="H19" s="194">
        <f t="shared" si="2"/>
        <v>235</v>
      </c>
      <c r="I19" s="194">
        <f t="shared" si="3"/>
        <v>5301.5999999999995</v>
      </c>
      <c r="J19" s="194">
        <f t="shared" si="4"/>
        <v>0.25759070481201363</v>
      </c>
      <c r="K19" s="194">
        <v>100</v>
      </c>
      <c r="L19" s="194">
        <f t="shared" si="0"/>
        <v>2256</v>
      </c>
      <c r="M19" s="194">
        <v>135</v>
      </c>
      <c r="N19" s="194">
        <f t="shared" si="1"/>
        <v>3045.6</v>
      </c>
    </row>
    <row r="20" spans="2:14" ht="51">
      <c r="B20" s="148">
        <f>'ცვლილების აქტი'!A21</f>
        <v>9</v>
      </c>
      <c r="C20" s="146" t="str">
        <f>'ცვლილების აქტი'!B21</f>
        <v>თხრილის შევსება ბალასტით (0-120 მმ) მექანიზმის გამოყენებით, 50 მ-ზე გადაადგილებით, დატკეპნა</v>
      </c>
      <c r="D20" s="147" t="str">
        <f>'ცვლილების აქტი'!C21</f>
        <v>მ3</v>
      </c>
      <c r="E20" s="194">
        <f>'ცვლილების აქტი'!D21</f>
        <v>3007.7</v>
      </c>
      <c r="F20" s="194">
        <f>'ცვლილების აქტი'!E21</f>
        <v>17.419999999999998</v>
      </c>
      <c r="G20" s="194">
        <f>'ცვლილების აქტი'!F21</f>
        <v>52394.133999999991</v>
      </c>
      <c r="H20" s="194">
        <f t="shared" si="2"/>
        <v>260</v>
      </c>
      <c r="I20" s="194">
        <f t="shared" si="3"/>
        <v>4529.2</v>
      </c>
      <c r="J20" s="194">
        <f t="shared" si="4"/>
        <v>8.6444791701299997E-2</v>
      </c>
      <c r="K20" s="194">
        <v>110</v>
      </c>
      <c r="L20" s="194">
        <f t="shared" si="0"/>
        <v>1916.1999999999998</v>
      </c>
      <c r="M20" s="194">
        <v>150</v>
      </c>
      <c r="N20" s="194">
        <f t="shared" si="1"/>
        <v>2612.9999999999995</v>
      </c>
    </row>
    <row r="21" spans="2:14" ht="38.25">
      <c r="B21" s="148">
        <f>'ცვლილების აქტი'!A22</f>
        <v>10</v>
      </c>
      <c r="C21" s="146" t="str">
        <f>'ცვლილების აქტი'!B22</f>
        <v>თხრილის შევსება ღორღით (5-40 მმ) მექანიზმის გამოყენებით, 50 მ-ზე გადაადგილებით, დატკეპნა</v>
      </c>
      <c r="D21" s="147" t="str">
        <f>'ცვლილების აქტი'!C22</f>
        <v>მ3</v>
      </c>
      <c r="E21" s="194">
        <f>'ცვლილების აქტი'!D22</f>
        <v>344.7</v>
      </c>
      <c r="F21" s="194">
        <f>'ცვლილების აქტი'!E22</f>
        <v>0</v>
      </c>
      <c r="G21" s="194">
        <f>'ცვლილების აქტი'!F22</f>
        <v>0</v>
      </c>
      <c r="H21" s="194">
        <f t="shared" si="2"/>
        <v>0</v>
      </c>
      <c r="I21" s="194">
        <f t="shared" si="3"/>
        <v>0</v>
      </c>
      <c r="J21" s="194">
        <f t="shared" si="4"/>
        <v>0</v>
      </c>
      <c r="K21" s="194">
        <v>0</v>
      </c>
      <c r="L21" s="194">
        <f t="shared" si="0"/>
        <v>0</v>
      </c>
      <c r="M21" s="194">
        <v>0</v>
      </c>
      <c r="N21" s="194">
        <f t="shared" si="1"/>
        <v>0</v>
      </c>
    </row>
    <row r="22" spans="2:14" ht="25.5">
      <c r="B22" s="148">
        <f>'ცვლილების აქტი'!A23</f>
        <v>11</v>
      </c>
      <c r="C22" s="146" t="str">
        <f>'ცვლილების აქტი'!B23</f>
        <v xml:space="preserve">ჭების ქვეშ  ქვიშა-ხრეშოვანი ბალიშის მოწყობა 10 სმ </v>
      </c>
      <c r="D22" s="147" t="str">
        <f>'ცვლილების აქტი'!C23</f>
        <v>მ3</v>
      </c>
      <c r="E22" s="194">
        <f>'ცვლილების აქტი'!D23</f>
        <v>15</v>
      </c>
      <c r="F22" s="194">
        <f>'ცვლილების აქტი'!E23</f>
        <v>23.09</v>
      </c>
      <c r="G22" s="194">
        <f>'ცვლილების აქტი'!F23</f>
        <v>346.35</v>
      </c>
      <c r="H22" s="194">
        <f t="shared" si="2"/>
        <v>6</v>
      </c>
      <c r="I22" s="194">
        <f t="shared" si="3"/>
        <v>138.54</v>
      </c>
      <c r="J22" s="194">
        <f t="shared" si="4"/>
        <v>0.4</v>
      </c>
      <c r="K22" s="194">
        <v>4</v>
      </c>
      <c r="L22" s="194">
        <f t="shared" si="0"/>
        <v>92.36</v>
      </c>
      <c r="M22" s="194">
        <v>2</v>
      </c>
      <c r="N22" s="194">
        <f t="shared" si="1"/>
        <v>46.18</v>
      </c>
    </row>
    <row r="23" spans="2:14" ht="51">
      <c r="B23" s="148">
        <f>'ცვლილების აქტი'!A24</f>
        <v>12</v>
      </c>
      <c r="C23" s="146" t="str">
        <f>'ცვლილების აქტი'!B24</f>
        <v>კანალიზაციის პოლიეთილენის გოფრირებული მილის შეძენა, მოწყობა  და გამოცდა SN8 ჰერმეტულობაზე  d=400მმ</v>
      </c>
      <c r="D23" s="147" t="str">
        <f>'ცვლილების აქტი'!C24</f>
        <v>მ</v>
      </c>
      <c r="E23" s="194">
        <f>'ცვლილების აქტი'!D24</f>
        <v>680</v>
      </c>
      <c r="F23" s="194">
        <f>'ცვლილების აქტი'!E24</f>
        <v>7.3</v>
      </c>
      <c r="G23" s="194">
        <f>'ცვლილების აქტი'!F24</f>
        <v>4964</v>
      </c>
      <c r="H23" s="194">
        <f t="shared" si="2"/>
        <v>335</v>
      </c>
      <c r="I23" s="194">
        <f t="shared" si="3"/>
        <v>2445.5</v>
      </c>
      <c r="J23" s="194">
        <f t="shared" si="4"/>
        <v>0.49264705882352944</v>
      </c>
      <c r="K23" s="194">
        <v>140</v>
      </c>
      <c r="L23" s="194">
        <f t="shared" si="0"/>
        <v>1022</v>
      </c>
      <c r="M23" s="194">
        <v>195</v>
      </c>
      <c r="N23" s="194">
        <f t="shared" si="1"/>
        <v>1423.5</v>
      </c>
    </row>
    <row r="24" spans="2:14" ht="51">
      <c r="B24" s="148">
        <f>'ცვლილების აქტი'!A25</f>
        <v>13</v>
      </c>
      <c r="C24" s="146" t="str">
        <f>'ცვლილების აქტი'!B25</f>
        <v>კანალიზაციის პოლიეთილენის გოფრირებული მილის შეძენა, მოწყობა  და გამოცდა SN8 ჰერმეტულობაზე  d=300 მმ</v>
      </c>
      <c r="D24" s="147" t="str">
        <f>'ცვლილების აქტი'!C25</f>
        <v>მ</v>
      </c>
      <c r="E24" s="194">
        <f>'ცვლილების აქტი'!D25</f>
        <v>120</v>
      </c>
      <c r="F24" s="194">
        <f>'ცვლილების აქტი'!E25</f>
        <v>5.4</v>
      </c>
      <c r="G24" s="194">
        <f>'ცვლილების აქტი'!F25</f>
        <v>648</v>
      </c>
      <c r="H24" s="194">
        <f t="shared" si="2"/>
        <v>107</v>
      </c>
      <c r="I24" s="194">
        <f t="shared" si="3"/>
        <v>577.80000000000007</v>
      </c>
      <c r="J24" s="194">
        <f t="shared" si="4"/>
        <v>0.89166666666666672</v>
      </c>
      <c r="K24" s="194">
        <v>100</v>
      </c>
      <c r="L24" s="194">
        <f t="shared" si="0"/>
        <v>540</v>
      </c>
      <c r="M24" s="194">
        <v>7</v>
      </c>
      <c r="N24" s="194">
        <f t="shared" si="1"/>
        <v>37.800000000000004</v>
      </c>
    </row>
    <row r="25" spans="2:14" ht="51">
      <c r="B25" s="148">
        <f>'ცვლილების აქტი'!A26</f>
        <v>14</v>
      </c>
      <c r="C25" s="146" t="str">
        <f>'ცვლილების აქტი'!B26</f>
        <v>კანალიზაციის პოლიეთილენის გოფრირებული მილის შეძენა, მოწყობა  და გამოცდა SN8 ჰერმეტულობაზე  d=200 მმ</v>
      </c>
      <c r="D25" s="147" t="str">
        <f>'ცვლილების აქტი'!C26</f>
        <v>მ</v>
      </c>
      <c r="E25" s="194">
        <f>'ცვლილების აქტი'!D26</f>
        <v>100</v>
      </c>
      <c r="F25" s="194">
        <f>'ცვლილების აქტი'!E26</f>
        <v>4.7</v>
      </c>
      <c r="G25" s="194">
        <f>'ცვლილების აქტი'!F26</f>
        <v>470</v>
      </c>
      <c r="H25" s="194">
        <f t="shared" si="2"/>
        <v>35</v>
      </c>
      <c r="I25" s="194">
        <f t="shared" si="3"/>
        <v>164.5</v>
      </c>
      <c r="J25" s="194">
        <f t="shared" si="4"/>
        <v>0.35</v>
      </c>
      <c r="K25" s="194">
        <v>20</v>
      </c>
      <c r="L25" s="194">
        <f t="shared" si="0"/>
        <v>94</v>
      </c>
      <c r="M25" s="194">
        <v>15</v>
      </c>
      <c r="N25" s="194">
        <f t="shared" si="1"/>
        <v>70.5</v>
      </c>
    </row>
    <row r="26" spans="2:14" ht="51">
      <c r="B26" s="148">
        <f>'ცვლილების აქტი'!A27</f>
        <v>15</v>
      </c>
      <c r="C26" s="146" t="str">
        <f>'ცვლილების აქტი'!B27</f>
        <v>კანალიზაციის პოლიეთილენის გოფრირებული მილის შეძენა, მოწყობა  და გამოცდა SN8 ჰერმეტულობაზე  d=150 მმ</v>
      </c>
      <c r="D26" s="147" t="str">
        <f>'ცვლილების აქტი'!C27</f>
        <v>მ</v>
      </c>
      <c r="E26" s="194">
        <f>'ცვლილების აქტი'!D27</f>
        <v>400</v>
      </c>
      <c r="F26" s="194">
        <f>'ცვლილების აქტი'!E27</f>
        <v>4</v>
      </c>
      <c r="G26" s="194">
        <f>'ცვლილების აქტი'!F27</f>
        <v>1600</v>
      </c>
      <c r="H26" s="194">
        <f t="shared" si="2"/>
        <v>3</v>
      </c>
      <c r="I26" s="194">
        <f t="shared" si="3"/>
        <v>12</v>
      </c>
      <c r="J26" s="194">
        <f t="shared" si="4"/>
        <v>7.4999999999999997E-3</v>
      </c>
      <c r="K26" s="194">
        <v>2</v>
      </c>
      <c r="L26" s="194">
        <f t="shared" si="0"/>
        <v>8</v>
      </c>
      <c r="M26" s="194">
        <v>1</v>
      </c>
      <c r="N26" s="194">
        <f t="shared" si="1"/>
        <v>4</v>
      </c>
    </row>
    <row r="27" spans="2:14" ht="89.25">
      <c r="B27" s="148">
        <f>'ცვლილების აქტი'!A28</f>
        <v>16</v>
      </c>
      <c r="C27" s="146" t="str">
        <f>'ცვლილების აქტი'!B28</f>
        <v>რ/ბ ანაკრები წრიული ჭის   (9 ცალი) შეძენა -  მონტაჟი, რკბ. ძირის ფილით, რკბ რგოლებით, რკბ. გადახურვის ფილა თუჯის ხუფით D=1.0 მ H-2.8 მ  გამირების მოწყობის გათვალისწინებით</v>
      </c>
      <c r="D27" s="147" t="str">
        <f>'ცვლილების აქტი'!C28</f>
        <v>ც</v>
      </c>
      <c r="E27" s="194">
        <f>'ცვლილების აქტი'!D28</f>
        <v>9</v>
      </c>
      <c r="F27" s="194">
        <f>'ცვლილების აქტი'!E28</f>
        <v>201.96899999999997</v>
      </c>
      <c r="G27" s="194">
        <f>'ცვლილების აქტი'!F28</f>
        <v>1817.7209999999998</v>
      </c>
      <c r="H27" s="194">
        <f t="shared" si="2"/>
        <v>5</v>
      </c>
      <c r="I27" s="194">
        <f t="shared" si="3"/>
        <v>1009.8449999999998</v>
      </c>
      <c r="J27" s="194">
        <f t="shared" si="4"/>
        <v>0.55555555555555558</v>
      </c>
      <c r="K27" s="194">
        <v>2</v>
      </c>
      <c r="L27" s="194">
        <f t="shared" si="0"/>
        <v>403.93799999999993</v>
      </c>
      <c r="M27" s="194">
        <v>3</v>
      </c>
      <c r="N27" s="194">
        <f t="shared" si="1"/>
        <v>605.90699999999993</v>
      </c>
    </row>
    <row r="28" spans="2:14" ht="25.5">
      <c r="B28" s="148">
        <f>'ცვლილების აქტი'!A29</f>
        <v>17</v>
      </c>
      <c r="C28" s="146" t="str">
        <f>'ცვლილების აქტი'!B29</f>
        <v>რკინა-ბეტონის რგოლი D=1000მმ/1მ</v>
      </c>
      <c r="D28" s="147" t="str">
        <f>'ცვლილების აქტი'!C29</f>
        <v>ც</v>
      </c>
      <c r="E28" s="194">
        <f>'ცვლილების აქტი'!D29</f>
        <v>25</v>
      </c>
      <c r="F28" s="194">
        <f>'ცვლილების აქტი'!E29</f>
        <v>80.569999999999993</v>
      </c>
      <c r="G28" s="194">
        <f>'ცვლილების აქტი'!F29</f>
        <v>2014.2499999999998</v>
      </c>
      <c r="H28" s="194">
        <f t="shared" si="2"/>
        <v>6</v>
      </c>
      <c r="I28" s="194">
        <f t="shared" si="3"/>
        <v>483.41999999999996</v>
      </c>
      <c r="J28" s="194">
        <f t="shared" si="4"/>
        <v>0.24</v>
      </c>
      <c r="K28" s="194">
        <v>4</v>
      </c>
      <c r="L28" s="194">
        <f t="shared" si="0"/>
        <v>322.27999999999997</v>
      </c>
      <c r="M28" s="194">
        <v>2</v>
      </c>
      <c r="N28" s="194">
        <f t="shared" si="1"/>
        <v>161.13999999999999</v>
      </c>
    </row>
    <row r="29" spans="2:14" ht="25.5">
      <c r="B29" s="148">
        <f>'ცვლილების აქტი'!A30</f>
        <v>18</v>
      </c>
      <c r="C29" s="146" t="str">
        <f>'ცვლილების აქტი'!B30</f>
        <v>რკინა-ბეტონის ძირის ფილა D=1200მმ</v>
      </c>
      <c r="D29" s="147" t="str">
        <f>'ცვლილების აქტი'!C30</f>
        <v>ც</v>
      </c>
      <c r="E29" s="194">
        <f>'ცვლილების აქტი'!D30</f>
        <v>9</v>
      </c>
      <c r="F29" s="194">
        <f>'ცვლილების აქტი'!E30</f>
        <v>40.299999999999997</v>
      </c>
      <c r="G29" s="194">
        <f>'ცვლილების აქტი'!F30</f>
        <v>362.7</v>
      </c>
      <c r="H29" s="194">
        <f t="shared" si="2"/>
        <v>3</v>
      </c>
      <c r="I29" s="194">
        <f t="shared" si="3"/>
        <v>120.89999999999999</v>
      </c>
      <c r="J29" s="194">
        <f t="shared" si="4"/>
        <v>0.33333333333333331</v>
      </c>
      <c r="K29" s="194">
        <v>2</v>
      </c>
      <c r="L29" s="194">
        <f t="shared" si="0"/>
        <v>80.599999999999994</v>
      </c>
      <c r="M29" s="194">
        <v>1</v>
      </c>
      <c r="N29" s="194">
        <f t="shared" si="1"/>
        <v>40.299999999999997</v>
      </c>
    </row>
    <row r="30" spans="2:14" ht="25.5">
      <c r="B30" s="148">
        <f>'ცვლილების აქტი'!A31</f>
        <v>19</v>
      </c>
      <c r="C30" s="146" t="str">
        <f>'ცვლილების აქტი'!B31</f>
        <v>რკინა-ბეტონის ძირის ფილა D=1200მმ</v>
      </c>
      <c r="D30" s="147" t="str">
        <f>'ცვლილების აქტი'!C31</f>
        <v>ც</v>
      </c>
      <c r="E30" s="194">
        <f>'ცვლილების აქტი'!D31</f>
        <v>9</v>
      </c>
      <c r="F30" s="194">
        <f>'ცვლილების აქტი'!E31</f>
        <v>35.630000000000003</v>
      </c>
      <c r="G30" s="194">
        <f>'ცვლილების აქტი'!F31</f>
        <v>320.67</v>
      </c>
      <c r="H30" s="194">
        <f t="shared" si="2"/>
        <v>4</v>
      </c>
      <c r="I30" s="194">
        <f t="shared" si="3"/>
        <v>142.52000000000001</v>
      </c>
      <c r="J30" s="194">
        <f t="shared" si="4"/>
        <v>0.44444444444444442</v>
      </c>
      <c r="K30" s="194">
        <v>1</v>
      </c>
      <c r="L30" s="194">
        <f t="shared" si="0"/>
        <v>35.630000000000003</v>
      </c>
      <c r="M30" s="194">
        <v>3</v>
      </c>
      <c r="N30" s="194">
        <f t="shared" si="1"/>
        <v>106.89000000000001</v>
      </c>
    </row>
    <row r="31" spans="2:14" ht="89.25">
      <c r="B31" s="148">
        <f>'ცვლილების აქტი'!A32</f>
        <v>20</v>
      </c>
      <c r="C31" s="146" t="str">
        <f>'ცვლილების აქტი'!B32</f>
        <v>რ/ბ ანაკრები წრიული ჭის  (14 ცალი) შეძენა -  მონტაჟი, რკბ. ძირის ფილით, რკბ რგოლებით, რკბ. გადახურვის ფილა თუჯის ხუფით D=1.5 მ H-3.3 მ  გამირების მოწყობის გათვალისწინებით</v>
      </c>
      <c r="D31" s="147" t="str">
        <f>'ცვლილების აქტი'!C32</f>
        <v>ც</v>
      </c>
      <c r="E31" s="194">
        <f>'ცვლილების აქტი'!D32</f>
        <v>14</v>
      </c>
      <c r="F31" s="194">
        <f>'ცვლილების აქტი'!E32</f>
        <v>212.04000000000002</v>
      </c>
      <c r="G31" s="194">
        <f>'ცვლილების აქტი'!F32</f>
        <v>2968.5600000000004</v>
      </c>
      <c r="H31" s="194">
        <f t="shared" si="2"/>
        <v>12</v>
      </c>
      <c r="I31" s="194">
        <f t="shared" si="3"/>
        <v>2544.4800000000005</v>
      </c>
      <c r="J31" s="194">
        <f t="shared" si="4"/>
        <v>0.8571428571428571</v>
      </c>
      <c r="K31" s="194">
        <v>10</v>
      </c>
      <c r="L31" s="194">
        <f t="shared" si="0"/>
        <v>2120.4</v>
      </c>
      <c r="M31" s="194">
        <v>2</v>
      </c>
      <c r="N31" s="194">
        <f t="shared" si="1"/>
        <v>424.08000000000004</v>
      </c>
    </row>
    <row r="32" spans="2:14" ht="25.5">
      <c r="B32" s="148">
        <f>'ცვლილების აქტი'!A33</f>
        <v>21</v>
      </c>
      <c r="C32" s="146" t="str">
        <f>'ცვლილების აქტი'!B33</f>
        <v>რკინა-ბეტონის რგოლი D=1500მმ/1მ</v>
      </c>
      <c r="D32" s="147" t="str">
        <f>'ცვლილების აქტი'!C33</f>
        <v>ც</v>
      </c>
      <c r="E32" s="194">
        <f>'ცვლილების აქტი'!D33</f>
        <v>42</v>
      </c>
      <c r="F32" s="194">
        <f>'ცვლილების აქტი'!E33</f>
        <v>123.04999999999998</v>
      </c>
      <c r="G32" s="194">
        <f>'ცვლილების აქტი'!F33</f>
        <v>5168.0999999999995</v>
      </c>
      <c r="H32" s="194">
        <f t="shared" si="2"/>
        <v>3</v>
      </c>
      <c r="I32" s="194">
        <f t="shared" si="3"/>
        <v>369.15</v>
      </c>
      <c r="J32" s="194">
        <f t="shared" si="4"/>
        <v>7.1428571428571425E-2</v>
      </c>
      <c r="K32" s="194">
        <v>2</v>
      </c>
      <c r="L32" s="194">
        <f t="shared" si="0"/>
        <v>246.09999999999997</v>
      </c>
      <c r="M32" s="194">
        <v>1</v>
      </c>
      <c r="N32" s="194">
        <f t="shared" si="1"/>
        <v>123.04999999999998</v>
      </c>
    </row>
    <row r="33" spans="2:14" ht="25.5">
      <c r="B33" s="148">
        <f>'ცვლილების აქტი'!A34</f>
        <v>22</v>
      </c>
      <c r="C33" s="146" t="str">
        <f>'ცვლილების აქტი'!B34</f>
        <v>რკინა-ბეტონის რგოლი D=1500მმ/0.5მ</v>
      </c>
      <c r="D33" s="147" t="str">
        <f>'ცვლილების აქტი'!C34</f>
        <v>ც</v>
      </c>
      <c r="E33" s="194">
        <f>'ცვლილების აქტი'!D34</f>
        <v>6</v>
      </c>
      <c r="F33" s="194">
        <f>'ცვლილების აქტი'!E34</f>
        <v>61.57</v>
      </c>
      <c r="G33" s="194">
        <f>'ცვლილების აქტი'!F34</f>
        <v>369.42</v>
      </c>
      <c r="H33" s="194">
        <f t="shared" si="2"/>
        <v>5</v>
      </c>
      <c r="I33" s="194">
        <f t="shared" si="3"/>
        <v>307.85000000000002</v>
      </c>
      <c r="J33" s="194">
        <f t="shared" si="4"/>
        <v>0.83333333333333337</v>
      </c>
      <c r="K33" s="194">
        <v>2</v>
      </c>
      <c r="L33" s="194">
        <f t="shared" si="0"/>
        <v>123.14</v>
      </c>
      <c r="M33" s="194">
        <v>3</v>
      </c>
      <c r="N33" s="194">
        <f t="shared" si="1"/>
        <v>184.71</v>
      </c>
    </row>
    <row r="34" spans="2:14" ht="25.5">
      <c r="B34" s="148">
        <f>'ცვლილების აქტი'!A35</f>
        <v>23</v>
      </c>
      <c r="C34" s="146" t="str">
        <f>'ცვლილების აქტი'!B35</f>
        <v>რკინა-ბეტონის ძირის ფილა D=1700მმ</v>
      </c>
      <c r="D34" s="147" t="str">
        <f>'ცვლილების აქტი'!C35</f>
        <v>ც</v>
      </c>
      <c r="E34" s="194">
        <f>'ცვლილების აქტი'!D35</f>
        <v>14</v>
      </c>
      <c r="F34" s="194">
        <f>'ცვლილების აქტი'!E35</f>
        <v>68.7</v>
      </c>
      <c r="G34" s="194">
        <f>'ცვლილების აქტი'!F35</f>
        <v>961.80000000000007</v>
      </c>
      <c r="H34" s="194">
        <f t="shared" si="2"/>
        <v>6</v>
      </c>
      <c r="I34" s="194">
        <f t="shared" si="3"/>
        <v>412.20000000000005</v>
      </c>
      <c r="J34" s="194">
        <f t="shared" si="4"/>
        <v>0.42857142857142855</v>
      </c>
      <c r="K34" s="194">
        <v>4</v>
      </c>
      <c r="L34" s="194">
        <f t="shared" si="0"/>
        <v>274.8</v>
      </c>
      <c r="M34" s="194">
        <v>2</v>
      </c>
      <c r="N34" s="194">
        <f t="shared" si="1"/>
        <v>137.4</v>
      </c>
    </row>
    <row r="35" spans="2:14" ht="38.25">
      <c r="B35" s="148">
        <f>'ცვლილების აქტი'!A36</f>
        <v>24</v>
      </c>
      <c r="C35" s="146" t="str">
        <f>'ცვლილების აქტი'!B36</f>
        <v>ჭის გარე ზედაპირის ჰიდროიზოლაცია ბითუმის მასტიკით 2 ფენად</v>
      </c>
      <c r="D35" s="147" t="str">
        <f>'ცვლილების აქტი'!C36</f>
        <v>მ2</v>
      </c>
      <c r="E35" s="194">
        <f>'ცვლილების აქტი'!D36</f>
        <v>86.7</v>
      </c>
      <c r="F35" s="194">
        <f>'ცვლილების აქტი'!E36</f>
        <v>5.8</v>
      </c>
      <c r="G35" s="194">
        <f>'ცვლილების აქტი'!F36</f>
        <v>502.86</v>
      </c>
      <c r="H35" s="194">
        <f t="shared" si="2"/>
        <v>10</v>
      </c>
      <c r="I35" s="194">
        <f t="shared" si="3"/>
        <v>58</v>
      </c>
      <c r="J35" s="194">
        <f t="shared" si="4"/>
        <v>0.11534025374855825</v>
      </c>
      <c r="K35" s="194">
        <v>3</v>
      </c>
      <c r="L35" s="194">
        <f t="shared" si="0"/>
        <v>17.399999999999999</v>
      </c>
      <c r="M35" s="194">
        <v>7</v>
      </c>
      <c r="N35" s="194">
        <f t="shared" si="1"/>
        <v>40.6</v>
      </c>
    </row>
    <row r="36" spans="2:14" ht="25.5">
      <c r="B36" s="148">
        <f>'ცვლილების აქტი'!A37</f>
        <v>25</v>
      </c>
      <c r="C36" s="146" t="str">
        <f>'ცვლილების აქტი'!B37</f>
        <v xml:space="preserve">ჭის ღარის მოწყობა B-25 მარკის ბეტონით </v>
      </c>
      <c r="D36" s="147" t="str">
        <f>'ცვლილების აქტი'!C37</f>
        <v>მ3</v>
      </c>
      <c r="E36" s="194">
        <f>'ცვლილების აქტი'!D37</f>
        <v>12.65</v>
      </c>
      <c r="F36" s="194">
        <f>'ცვლილების აქტი'!E37</f>
        <v>185.13000000000002</v>
      </c>
      <c r="G36" s="194">
        <f>'ცვლილების აქტი'!F37</f>
        <v>2341.8945000000003</v>
      </c>
      <c r="H36" s="194">
        <f t="shared" si="2"/>
        <v>7</v>
      </c>
      <c r="I36" s="194">
        <f t="shared" si="3"/>
        <v>1295.9100000000001</v>
      </c>
      <c r="J36" s="194">
        <f t="shared" si="4"/>
        <v>0.55335968379446643</v>
      </c>
      <c r="K36" s="194">
        <v>5</v>
      </c>
      <c r="L36" s="194">
        <f t="shared" si="0"/>
        <v>925.65000000000009</v>
      </c>
      <c r="M36" s="194">
        <v>2</v>
      </c>
      <c r="N36" s="194">
        <f t="shared" si="1"/>
        <v>370.26000000000005</v>
      </c>
    </row>
    <row r="37" spans="2:14" ht="25.5">
      <c r="B37" s="148">
        <f>'ცვლილების აქტი'!A38</f>
        <v>26</v>
      </c>
      <c r="C37" s="146" t="str">
        <f>'ცვლილების აქტი'!B38</f>
        <v>არსებულ კანალიზაციის ჭაში შეჭრა</v>
      </c>
      <c r="D37" s="147" t="str">
        <f>'ცვლილების აქტი'!C38</f>
        <v>ადგ.</v>
      </c>
      <c r="E37" s="194">
        <f>'ცვლილების აქტი'!D38</f>
        <v>2</v>
      </c>
      <c r="F37" s="194">
        <f>'ცვლილების აქტი'!E38</f>
        <v>194.87</v>
      </c>
      <c r="G37" s="194">
        <f>'ცვლილების აქტი'!F38</f>
        <v>389.74</v>
      </c>
      <c r="H37" s="194">
        <f t="shared" si="2"/>
        <v>2</v>
      </c>
      <c r="I37" s="194">
        <f t="shared" si="3"/>
        <v>389.74</v>
      </c>
      <c r="J37" s="194">
        <f t="shared" si="4"/>
        <v>1</v>
      </c>
      <c r="K37" s="194">
        <v>1</v>
      </c>
      <c r="L37" s="194">
        <f t="shared" si="0"/>
        <v>194.87</v>
      </c>
      <c r="M37" s="194">
        <v>1</v>
      </c>
      <c r="N37" s="194">
        <f t="shared" si="1"/>
        <v>194.87</v>
      </c>
    </row>
    <row r="38" spans="2:14" ht="25.5">
      <c r="B38" s="148">
        <f>'ცვლილების აქტი'!A39</f>
        <v>27</v>
      </c>
      <c r="C38" s="146" t="str">
        <f>'ცვლილების აქტი'!B39</f>
        <v>მიწის თხრილის კედლების გამაგრება ხის ფარებით</v>
      </c>
      <c r="D38" s="147" t="str">
        <f>'ცვლილების აქტი'!C39</f>
        <v>მ²</v>
      </c>
      <c r="E38" s="194">
        <f>'ცვლილების აქტი'!D39</f>
        <v>6614</v>
      </c>
      <c r="F38" s="194">
        <f>'ცვლილების აქტი'!E39</f>
        <v>1.1500000000000001</v>
      </c>
      <c r="G38" s="194">
        <f>'ცვლილების აქტი'!F39</f>
        <v>7606.1000000000013</v>
      </c>
      <c r="H38" s="194">
        <f t="shared" si="2"/>
        <v>431</v>
      </c>
      <c r="I38" s="194">
        <f t="shared" si="3"/>
        <v>495.65000000000003</v>
      </c>
      <c r="J38" s="194">
        <f t="shared" si="4"/>
        <v>6.5164801935288785E-2</v>
      </c>
      <c r="K38" s="194">
        <v>430</v>
      </c>
      <c r="L38" s="194">
        <f t="shared" si="0"/>
        <v>494.50000000000006</v>
      </c>
      <c r="M38" s="194">
        <v>1</v>
      </c>
      <c r="N38" s="194">
        <f t="shared" si="1"/>
        <v>1.1500000000000001</v>
      </c>
    </row>
    <row r="39" spans="2:14">
      <c r="B39" s="148"/>
      <c r="C39" s="192" t="str">
        <f>'ცვლილების აქტი'!B40</f>
        <v>სულ პირდაპირი ხარჯი</v>
      </c>
      <c r="D39" s="149"/>
      <c r="E39" s="195"/>
      <c r="F39" s="195"/>
      <c r="G39" s="195">
        <f>'ცვლილების აქტი'!F40</f>
        <v>178171.82749999998</v>
      </c>
      <c r="H39" s="195"/>
      <c r="I39" s="195">
        <f>SUM(I12:I38)</f>
        <v>24371.621036203298</v>
      </c>
      <c r="J39" s="195"/>
      <c r="K39" s="195"/>
      <c r="L39" s="195">
        <f>SUM(L12:L38)</f>
        <v>12955.367999999999</v>
      </c>
      <c r="M39" s="195"/>
      <c r="N39" s="195">
        <f>SUM(N12:N38)</f>
        <v>11516.136999999995</v>
      </c>
    </row>
    <row r="40" spans="2:14">
      <c r="B40" s="148"/>
      <c r="C40" s="192" t="str">
        <f>'ცვლილების აქტი'!B41</f>
        <v>ზედნადები ხარჯი</v>
      </c>
      <c r="D40" s="149">
        <f>'ცვლილების აქტი'!C41</f>
        <v>0.1</v>
      </c>
      <c r="E40" s="195"/>
      <c r="F40" s="195"/>
      <c r="G40" s="195">
        <f>'ცვლილების აქტი'!F41</f>
        <v>17817.18275</v>
      </c>
      <c r="H40" s="195"/>
      <c r="I40" s="195">
        <f>I39*$D$40</f>
        <v>2437.1621036203301</v>
      </c>
      <c r="J40" s="195"/>
      <c r="K40" s="195"/>
      <c r="L40" s="195">
        <f>L39*D40</f>
        <v>1295.5367999999999</v>
      </c>
      <c r="M40" s="195"/>
      <c r="N40" s="195">
        <f>N39*D40</f>
        <v>1151.6136999999997</v>
      </c>
    </row>
    <row r="41" spans="2:14">
      <c r="B41" s="148"/>
      <c r="C41" s="192" t="str">
        <f>'ცვლილების აქტი'!B42</f>
        <v>ჯამი</v>
      </c>
      <c r="D41" s="149"/>
      <c r="E41" s="195"/>
      <c r="F41" s="195"/>
      <c r="G41" s="195">
        <f>'ცვლილების აქტი'!F42</f>
        <v>195989.01024999999</v>
      </c>
      <c r="H41" s="195"/>
      <c r="I41" s="195">
        <f>I40+$I$39</f>
        <v>26808.783139823627</v>
      </c>
      <c r="J41" s="195"/>
      <c r="K41" s="195"/>
      <c r="L41" s="195">
        <f>L40+L39</f>
        <v>14250.904799999998</v>
      </c>
      <c r="M41" s="195"/>
      <c r="N41" s="195">
        <f>N40+N39</f>
        <v>12667.750699999995</v>
      </c>
    </row>
    <row r="42" spans="2:14">
      <c r="B42" s="148"/>
      <c r="C42" s="192" t="str">
        <f>'ცვლილების აქტი'!B43</f>
        <v>გეგმიური დაგროვება</v>
      </c>
      <c r="D42" s="149">
        <f>'ცვლილების აქტი'!C43</f>
        <v>0.08</v>
      </c>
      <c r="E42" s="195"/>
      <c r="F42" s="195"/>
      <c r="G42" s="195">
        <f>'ცვლილების აქტი'!F43</f>
        <v>15679.12082</v>
      </c>
      <c r="H42" s="195"/>
      <c r="I42" s="195">
        <f>I41*D42</f>
        <v>2144.7026511858903</v>
      </c>
      <c r="J42" s="195"/>
      <c r="K42" s="195"/>
      <c r="L42" s="195">
        <f>L41*D42</f>
        <v>1140.0723839999998</v>
      </c>
      <c r="M42" s="195"/>
      <c r="N42" s="195">
        <f>N41*D42</f>
        <v>1013.4200559999996</v>
      </c>
    </row>
    <row r="43" spans="2:14">
      <c r="B43" s="148"/>
      <c r="C43" s="192" t="str">
        <f>'ცვლილების აქტი'!B44</f>
        <v>ჯამი</v>
      </c>
      <c r="D43" s="149"/>
      <c r="E43" s="195"/>
      <c r="F43" s="195"/>
      <c r="G43" s="195">
        <f>'ცვლილების აქტი'!F44</f>
        <v>211668.13107</v>
      </c>
      <c r="H43" s="195"/>
      <c r="I43" s="195">
        <f>I42+I41</f>
        <v>28953.485791009516</v>
      </c>
      <c r="J43" s="195"/>
      <c r="K43" s="195"/>
      <c r="L43" s="195">
        <f>L42+L41</f>
        <v>15390.977183999998</v>
      </c>
      <c r="M43" s="195"/>
      <c r="N43" s="195">
        <f>N42+N41</f>
        <v>13681.170755999994</v>
      </c>
    </row>
    <row r="44" spans="2:14">
      <c r="B44" s="148"/>
      <c r="C44" s="192" t="str">
        <f>'ცვლილების აქტი'!B45</f>
        <v>გაუთვალისწინებელი ხარჯი</v>
      </c>
      <c r="D44" s="149">
        <f>'ცვლილების აქტი'!C45</f>
        <v>0.03</v>
      </c>
      <c r="E44" s="195"/>
      <c r="F44" s="195"/>
      <c r="G44" s="195">
        <f>'ცვლილების აქტი'!F45</f>
        <v>6350.0439320999994</v>
      </c>
      <c r="H44" s="195"/>
      <c r="I44" s="195">
        <v>0</v>
      </c>
      <c r="J44" s="195"/>
      <c r="K44" s="195"/>
      <c r="L44" s="195">
        <v>0</v>
      </c>
      <c r="M44" s="195"/>
      <c r="N44" s="195">
        <v>0</v>
      </c>
    </row>
    <row r="45" spans="2:14">
      <c r="B45" s="148"/>
      <c r="C45" s="192" t="str">
        <f>'ცვლილების აქტი'!B46</f>
        <v>ჯამი</v>
      </c>
      <c r="D45" s="149"/>
      <c r="E45" s="195"/>
      <c r="F45" s="195"/>
      <c r="G45" s="195">
        <f>'ცვლილების აქტი'!F46</f>
        <v>218018.1750021</v>
      </c>
      <c r="H45" s="195"/>
      <c r="I45" s="195">
        <f>I44+I43</f>
        <v>28953.485791009516</v>
      </c>
      <c r="J45" s="195"/>
      <c r="K45" s="195"/>
      <c r="L45" s="195">
        <f>L44+L43</f>
        <v>15390.977183999998</v>
      </c>
      <c r="M45" s="195"/>
      <c r="N45" s="195">
        <f>N44+N43</f>
        <v>13681.170755999994</v>
      </c>
    </row>
    <row r="46" spans="2:14">
      <c r="B46" s="148"/>
      <c r="C46" s="192" t="str">
        <f>'ცვლილების აქტი'!B47</f>
        <v xml:space="preserve">დღგ:    </v>
      </c>
      <c r="D46" s="149">
        <f>'ცვლილების აქტი'!C47</f>
        <v>0.18</v>
      </c>
      <c r="E46" s="195"/>
      <c r="F46" s="195"/>
      <c r="G46" s="195">
        <f>'ცვლილების აქტი'!F47</f>
        <v>39243.271500377996</v>
      </c>
      <c r="H46" s="195"/>
      <c r="I46" s="195">
        <f>I45*$D$46</f>
        <v>5211.6274423817131</v>
      </c>
      <c r="J46" s="195"/>
      <c r="K46" s="195"/>
      <c r="L46" s="195">
        <f>L45*D46</f>
        <v>2770.3758931199995</v>
      </c>
      <c r="M46" s="195"/>
      <c r="N46" s="195">
        <f>N45*D46</f>
        <v>2462.6107360799988</v>
      </c>
    </row>
    <row r="47" spans="2:14">
      <c r="B47" s="148"/>
      <c r="C47" s="192" t="str">
        <f>'ცვლილების აქტი'!B48</f>
        <v>სულ ხარჯთაღრიცხვით</v>
      </c>
      <c r="D47" s="149"/>
      <c r="E47" s="196"/>
      <c r="F47" s="196"/>
      <c r="G47" s="196">
        <f>'ცვლილების აქტი'!F48</f>
        <v>257261.44650247801</v>
      </c>
      <c r="H47" s="196"/>
      <c r="I47" s="196">
        <f>I46+I45</f>
        <v>34165.113233391232</v>
      </c>
      <c r="J47" s="197">
        <f>I47/G47</f>
        <v>0.13280308300319746</v>
      </c>
      <c r="K47" s="196"/>
      <c r="L47" s="196">
        <f>L46+L45</f>
        <v>18161.353077119998</v>
      </c>
      <c r="M47" s="196"/>
      <c r="N47" s="196">
        <f>N46+N45</f>
        <v>16143.781492079994</v>
      </c>
    </row>
  </sheetData>
  <mergeCells count="6">
    <mergeCell ref="B10:B11"/>
    <mergeCell ref="D10:G10"/>
    <mergeCell ref="H10:J10"/>
    <mergeCell ref="K10:L10"/>
    <mergeCell ref="M10:N10"/>
    <mergeCell ref="C10:C11"/>
  </mergeCells>
  <pageMargins left="0.24305555555555555" right="0.25" top="0.1875" bottom="0.18055555555555555" header="0.3" footer="0.3"/>
  <pageSetup scale="91" orientation="landscape" horizontalDpi="300" verticalDpi="300" r:id="rId1"/>
  <ignoredErrors>
    <ignoredError sqref="C39:N40 C18:N38 C12 C13:N17 D12:N12 C45:K45 C44:H44 J44:K44 C47:N47 C46:H46 J46:K46 C41:K43 M41:M43 M45 M44 M46" unlockedFormula="1"/>
    <ignoredError sqref="I46 L45:L46 L41:L43 N45:N46 N41:N43" formula="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pane xSplit="3" ySplit="11" topLeftCell="D30" activePane="bottomRight" state="frozen"/>
      <selection pane="topRight" activeCell="D1" sqref="D1"/>
      <selection pane="bottomLeft" activeCell="A12" sqref="A12"/>
      <selection pane="bottomRight" activeCell="P45" sqref="P45"/>
    </sheetView>
  </sheetViews>
  <sheetFormatPr defaultColWidth="9.28515625" defaultRowHeight="14.25"/>
  <cols>
    <col min="1" max="1" width="7.140625" style="215" customWidth="1"/>
    <col min="2" max="2" width="54" style="216" customWidth="1"/>
    <col min="3" max="3" width="9.28515625" style="216"/>
    <col min="4" max="5" width="9.42578125" style="216" bestFit="1" customWidth="1"/>
    <col min="6" max="6" width="12" style="216" bestFit="1" customWidth="1"/>
    <col min="7" max="8" width="9.42578125" style="216" bestFit="1" customWidth="1"/>
    <col min="9" max="9" width="12" style="216" bestFit="1" customWidth="1"/>
    <col min="10" max="10" width="9.85546875" style="216" customWidth="1"/>
    <col min="11" max="11" width="13.28515625" style="228" customWidth="1"/>
    <col min="12" max="12" width="9.28515625" style="216"/>
    <col min="13" max="16384" width="9.28515625" style="215"/>
  </cols>
  <sheetData>
    <row r="1" spans="1:12" s="108" customFormat="1">
      <c r="H1" s="109"/>
    </row>
    <row r="2" spans="1:12" s="108" customFormat="1">
      <c r="B2" s="100" t="s">
        <v>184</v>
      </c>
      <c r="C2" s="120" t="s">
        <v>203</v>
      </c>
      <c r="H2" s="109"/>
    </row>
    <row r="3" spans="1:12" s="108" customFormat="1">
      <c r="B3" s="100" t="s">
        <v>2</v>
      </c>
      <c r="C3" s="153"/>
      <c r="H3" s="109"/>
    </row>
    <row r="4" spans="1:12" s="108" customFormat="1">
      <c r="B4" s="96" t="s">
        <v>108</v>
      </c>
      <c r="C4" s="121"/>
      <c r="H4" s="109"/>
    </row>
    <row r="5" spans="1:12" s="108" customFormat="1">
      <c r="B5" s="96" t="s">
        <v>170</v>
      </c>
      <c r="C5" s="121"/>
      <c r="H5" s="109"/>
    </row>
    <row r="6" spans="1:12" s="108" customFormat="1">
      <c r="B6" s="96" t="s">
        <v>169</v>
      </c>
      <c r="C6" s="121"/>
      <c r="H6" s="109"/>
    </row>
    <row r="7" spans="1:12" s="108" customFormat="1">
      <c r="A7" s="110"/>
      <c r="B7" s="103" t="s">
        <v>171</v>
      </c>
      <c r="C7" s="112"/>
    </row>
    <row r="8" spans="1:12" s="108" customFormat="1">
      <c r="A8" s="110"/>
      <c r="B8" s="103"/>
      <c r="C8" s="112"/>
    </row>
    <row r="9" spans="1:12" ht="15.6" customHeight="1">
      <c r="K9" s="217"/>
    </row>
    <row r="10" spans="1:12" ht="33.950000000000003" customHeight="1">
      <c r="A10" s="155" t="s">
        <v>110</v>
      </c>
      <c r="B10" s="156" t="s">
        <v>111</v>
      </c>
      <c r="C10" s="229" t="s">
        <v>194</v>
      </c>
      <c r="D10" s="230"/>
      <c r="E10" s="230"/>
      <c r="F10" s="231"/>
      <c r="G10" s="156" t="s">
        <v>201</v>
      </c>
      <c r="H10" s="156"/>
      <c r="I10" s="156"/>
      <c r="J10" s="156" t="s">
        <v>202</v>
      </c>
      <c r="K10" s="156"/>
    </row>
    <row r="11" spans="1:12" ht="33.950000000000003" customHeight="1">
      <c r="A11" s="155"/>
      <c r="B11" s="156"/>
      <c r="C11" s="139" t="s">
        <v>12</v>
      </c>
      <c r="D11" s="139" t="s">
        <v>187</v>
      </c>
      <c r="E11" s="139" t="s">
        <v>13</v>
      </c>
      <c r="F11" s="139" t="s">
        <v>167</v>
      </c>
      <c r="G11" s="139" t="s">
        <v>187</v>
      </c>
      <c r="H11" s="139" t="s">
        <v>13</v>
      </c>
      <c r="I11" s="139" t="s">
        <v>167</v>
      </c>
      <c r="J11" s="139" t="s">
        <v>187</v>
      </c>
      <c r="K11" s="139" t="s">
        <v>167</v>
      </c>
    </row>
    <row r="12" spans="1:12" s="219" customFormat="1" ht="28.5">
      <c r="A12" s="198">
        <v>1</v>
      </c>
      <c r="B12" s="199" t="s">
        <v>115</v>
      </c>
      <c r="C12" s="198" t="s">
        <v>116</v>
      </c>
      <c r="D12" s="232">
        <v>172.36</v>
      </c>
      <c r="E12" s="232">
        <v>5</v>
      </c>
      <c r="F12" s="232">
        <f>D12*E12</f>
        <v>861.80000000000007</v>
      </c>
      <c r="G12" s="233">
        <v>247</v>
      </c>
      <c r="H12" s="233">
        <f>E12</f>
        <v>5</v>
      </c>
      <c r="I12" s="233">
        <f>H12*G12</f>
        <v>1235</v>
      </c>
      <c r="J12" s="232">
        <f t="shared" ref="J12:J39" si="0">G12-D12</f>
        <v>74.639999999999986</v>
      </c>
      <c r="K12" s="232">
        <f>J12*H12</f>
        <v>373.19999999999993</v>
      </c>
      <c r="L12" s="218"/>
    </row>
    <row r="13" spans="1:12" s="219" customFormat="1" ht="28.5">
      <c r="A13" s="260" t="s">
        <v>162</v>
      </c>
      <c r="B13" s="199" t="s">
        <v>150</v>
      </c>
      <c r="C13" s="198" t="s">
        <v>116</v>
      </c>
      <c r="D13" s="232">
        <v>0</v>
      </c>
      <c r="E13" s="232">
        <v>0</v>
      </c>
      <c r="F13" s="232">
        <f>D13*E13</f>
        <v>0</v>
      </c>
      <c r="G13" s="233">
        <v>68</v>
      </c>
      <c r="H13" s="233">
        <f>'1-1-ახ_ნიმუში'!G7</f>
        <v>9.6000000000000014</v>
      </c>
      <c r="I13" s="233">
        <f t="shared" ref="I13:I39" si="1">H13*G13</f>
        <v>652.80000000000007</v>
      </c>
      <c r="J13" s="232">
        <f t="shared" si="0"/>
        <v>68</v>
      </c>
      <c r="K13" s="232">
        <f t="shared" ref="K13:K39" si="2">J13*H13</f>
        <v>652.80000000000007</v>
      </c>
      <c r="L13" s="218"/>
    </row>
    <row r="14" spans="1:12" s="219" customFormat="1" ht="28.5">
      <c r="A14" s="198">
        <v>2</v>
      </c>
      <c r="B14" s="199" t="s">
        <v>117</v>
      </c>
      <c r="C14" s="198" t="s">
        <v>116</v>
      </c>
      <c r="D14" s="232">
        <v>172.36</v>
      </c>
      <c r="E14" s="232">
        <v>0</v>
      </c>
      <c r="F14" s="232">
        <f t="shared" ref="F14:F39" si="3">D14*E14</f>
        <v>0</v>
      </c>
      <c r="G14" s="233">
        <v>172.36</v>
      </c>
      <c r="H14" s="233">
        <f t="shared" ref="H14:H39" si="4">E14</f>
        <v>0</v>
      </c>
      <c r="I14" s="233">
        <f t="shared" si="1"/>
        <v>0</v>
      </c>
      <c r="J14" s="232">
        <f t="shared" si="0"/>
        <v>0</v>
      </c>
      <c r="K14" s="232">
        <f t="shared" si="2"/>
        <v>0</v>
      </c>
      <c r="L14" s="218"/>
    </row>
    <row r="15" spans="1:12" ht="28.5">
      <c r="A15" s="198">
        <v>3</v>
      </c>
      <c r="B15" s="200" t="s">
        <v>118</v>
      </c>
      <c r="C15" s="201" t="s">
        <v>199</v>
      </c>
      <c r="D15" s="232">
        <v>3609</v>
      </c>
      <c r="E15" s="232">
        <v>4.87</v>
      </c>
      <c r="F15" s="232">
        <f t="shared" si="3"/>
        <v>17575.830000000002</v>
      </c>
      <c r="G15" s="233">
        <v>3000</v>
      </c>
      <c r="H15" s="233">
        <f t="shared" si="4"/>
        <v>4.87</v>
      </c>
      <c r="I15" s="233">
        <f t="shared" si="1"/>
        <v>14610</v>
      </c>
      <c r="J15" s="232">
        <f t="shared" si="0"/>
        <v>-609</v>
      </c>
      <c r="K15" s="232">
        <f t="shared" si="2"/>
        <v>-2965.83</v>
      </c>
    </row>
    <row r="16" spans="1:12" ht="28.5">
      <c r="A16" s="198">
        <v>4</v>
      </c>
      <c r="B16" s="200" t="s">
        <v>119</v>
      </c>
      <c r="C16" s="201" t="s">
        <v>199</v>
      </c>
      <c r="D16" s="232">
        <v>902</v>
      </c>
      <c r="E16" s="232">
        <v>12</v>
      </c>
      <c r="F16" s="232">
        <f t="shared" si="3"/>
        <v>10824</v>
      </c>
      <c r="G16" s="233">
        <v>1200</v>
      </c>
      <c r="H16" s="233">
        <f t="shared" si="4"/>
        <v>12</v>
      </c>
      <c r="I16" s="233">
        <f t="shared" si="1"/>
        <v>14400</v>
      </c>
      <c r="J16" s="232">
        <f t="shared" si="0"/>
        <v>298</v>
      </c>
      <c r="K16" s="232">
        <f t="shared" si="2"/>
        <v>3576</v>
      </c>
    </row>
    <row r="17" spans="1:12" ht="28.5">
      <c r="A17" s="198">
        <v>5</v>
      </c>
      <c r="B17" s="200" t="s">
        <v>120</v>
      </c>
      <c r="C17" s="201" t="s">
        <v>121</v>
      </c>
      <c r="D17" s="232">
        <v>9022</v>
      </c>
      <c r="E17" s="232">
        <v>4.3</v>
      </c>
      <c r="F17" s="232">
        <f t="shared" si="3"/>
        <v>38794.6</v>
      </c>
      <c r="G17" s="233">
        <v>9022</v>
      </c>
      <c r="H17" s="233">
        <f t="shared" si="4"/>
        <v>4.3</v>
      </c>
      <c r="I17" s="233">
        <f t="shared" si="1"/>
        <v>38794.6</v>
      </c>
      <c r="J17" s="232">
        <f t="shared" si="0"/>
        <v>0</v>
      </c>
      <c r="K17" s="232">
        <f t="shared" si="2"/>
        <v>0</v>
      </c>
    </row>
    <row r="18" spans="1:12" ht="42.75">
      <c r="A18" s="198">
        <v>6</v>
      </c>
      <c r="B18" s="202" t="s">
        <v>122</v>
      </c>
      <c r="C18" s="203" t="s">
        <v>123</v>
      </c>
      <c r="D18" s="233">
        <v>1723.58</v>
      </c>
      <c r="E18" s="232">
        <v>0</v>
      </c>
      <c r="F18" s="232">
        <f t="shared" si="3"/>
        <v>0</v>
      </c>
      <c r="G18" s="233">
        <v>1723.58</v>
      </c>
      <c r="H18" s="233">
        <f t="shared" si="4"/>
        <v>0</v>
      </c>
      <c r="I18" s="233">
        <f t="shared" si="1"/>
        <v>0</v>
      </c>
      <c r="J18" s="232">
        <f t="shared" si="0"/>
        <v>0</v>
      </c>
      <c r="K18" s="232">
        <f t="shared" si="2"/>
        <v>0</v>
      </c>
    </row>
    <row r="19" spans="1:12" ht="42.75">
      <c r="A19" s="198">
        <v>7</v>
      </c>
      <c r="B19" s="204" t="s">
        <v>124</v>
      </c>
      <c r="C19" s="201" t="s">
        <v>199</v>
      </c>
      <c r="D19" s="233">
        <v>912.3</v>
      </c>
      <c r="E19" s="232">
        <v>4.6999999999999993</v>
      </c>
      <c r="F19" s="232">
        <f t="shared" si="3"/>
        <v>4287.8099999999995</v>
      </c>
      <c r="G19" s="233">
        <v>850</v>
      </c>
      <c r="H19" s="233">
        <f t="shared" si="4"/>
        <v>4.6999999999999993</v>
      </c>
      <c r="I19" s="233">
        <f t="shared" si="1"/>
        <v>3994.9999999999995</v>
      </c>
      <c r="J19" s="232">
        <f t="shared" si="0"/>
        <v>-62.299999999999955</v>
      </c>
      <c r="K19" s="232">
        <f t="shared" si="2"/>
        <v>-292.80999999999972</v>
      </c>
    </row>
    <row r="20" spans="1:12" ht="28.5">
      <c r="A20" s="198">
        <v>8</v>
      </c>
      <c r="B20" s="205" t="s">
        <v>125</v>
      </c>
      <c r="C20" s="206" t="s">
        <v>199</v>
      </c>
      <c r="D20" s="232">
        <v>912.3</v>
      </c>
      <c r="E20" s="232">
        <v>22.56</v>
      </c>
      <c r="F20" s="232">
        <f t="shared" si="3"/>
        <v>20581.487999999998</v>
      </c>
      <c r="G20" s="233">
        <v>912.3</v>
      </c>
      <c r="H20" s="233">
        <f t="shared" si="4"/>
        <v>22.56</v>
      </c>
      <c r="I20" s="233">
        <f t="shared" si="1"/>
        <v>20581.487999999998</v>
      </c>
      <c r="J20" s="232">
        <f t="shared" si="0"/>
        <v>0</v>
      </c>
      <c r="K20" s="232">
        <f t="shared" si="2"/>
        <v>0</v>
      </c>
    </row>
    <row r="21" spans="1:12" ht="42.75">
      <c r="A21" s="198">
        <v>9</v>
      </c>
      <c r="B21" s="204" t="s">
        <v>126</v>
      </c>
      <c r="C21" s="201" t="s">
        <v>199</v>
      </c>
      <c r="D21" s="233">
        <v>3007.7</v>
      </c>
      <c r="E21" s="232">
        <v>17.419999999999998</v>
      </c>
      <c r="F21" s="232">
        <f t="shared" si="3"/>
        <v>52394.133999999991</v>
      </c>
      <c r="G21" s="233">
        <v>3007.7</v>
      </c>
      <c r="H21" s="233">
        <f t="shared" si="4"/>
        <v>17.419999999999998</v>
      </c>
      <c r="I21" s="233">
        <f t="shared" si="1"/>
        <v>52394.133999999991</v>
      </c>
      <c r="J21" s="232">
        <f t="shared" si="0"/>
        <v>0</v>
      </c>
      <c r="K21" s="232">
        <f t="shared" si="2"/>
        <v>0</v>
      </c>
    </row>
    <row r="22" spans="1:12" ht="42.75">
      <c r="A22" s="198">
        <v>10</v>
      </c>
      <c r="B22" s="202" t="s">
        <v>127</v>
      </c>
      <c r="C22" s="203" t="s">
        <v>199</v>
      </c>
      <c r="D22" s="233">
        <v>344.7</v>
      </c>
      <c r="E22" s="232">
        <v>0</v>
      </c>
      <c r="F22" s="232">
        <f t="shared" si="3"/>
        <v>0</v>
      </c>
      <c r="G22" s="233">
        <v>344.7</v>
      </c>
      <c r="H22" s="233">
        <f t="shared" si="4"/>
        <v>0</v>
      </c>
      <c r="I22" s="233">
        <f t="shared" si="1"/>
        <v>0</v>
      </c>
      <c r="J22" s="232">
        <f t="shared" si="0"/>
        <v>0</v>
      </c>
      <c r="K22" s="232">
        <f t="shared" si="2"/>
        <v>0</v>
      </c>
    </row>
    <row r="23" spans="1:12" ht="28.5">
      <c r="A23" s="198">
        <v>11</v>
      </c>
      <c r="B23" s="205" t="s">
        <v>128</v>
      </c>
      <c r="C23" s="206" t="s">
        <v>199</v>
      </c>
      <c r="D23" s="232">
        <v>15</v>
      </c>
      <c r="E23" s="232">
        <v>23.09</v>
      </c>
      <c r="F23" s="232">
        <f t="shared" si="3"/>
        <v>346.35</v>
      </c>
      <c r="G23" s="233">
        <v>15</v>
      </c>
      <c r="H23" s="233">
        <f t="shared" si="4"/>
        <v>23.09</v>
      </c>
      <c r="I23" s="233">
        <f t="shared" si="1"/>
        <v>346.35</v>
      </c>
      <c r="J23" s="232">
        <f t="shared" si="0"/>
        <v>0</v>
      </c>
      <c r="K23" s="232">
        <f t="shared" si="2"/>
        <v>0</v>
      </c>
    </row>
    <row r="24" spans="1:12" ht="42.75">
      <c r="A24" s="198">
        <v>12</v>
      </c>
      <c r="B24" s="207" t="s">
        <v>129</v>
      </c>
      <c r="C24" s="201" t="s">
        <v>130</v>
      </c>
      <c r="D24" s="233">
        <v>680</v>
      </c>
      <c r="E24" s="232">
        <v>7.3</v>
      </c>
      <c r="F24" s="232">
        <f t="shared" si="3"/>
        <v>4964</v>
      </c>
      <c r="G24" s="233">
        <v>680</v>
      </c>
      <c r="H24" s="233">
        <f t="shared" si="4"/>
        <v>7.3</v>
      </c>
      <c r="I24" s="233">
        <f t="shared" si="1"/>
        <v>4964</v>
      </c>
      <c r="J24" s="232">
        <f t="shared" si="0"/>
        <v>0</v>
      </c>
      <c r="K24" s="232">
        <f t="shared" si="2"/>
        <v>0</v>
      </c>
    </row>
    <row r="25" spans="1:12" ht="42.75">
      <c r="A25" s="198">
        <v>13</v>
      </c>
      <c r="B25" s="207" t="s">
        <v>131</v>
      </c>
      <c r="C25" s="201" t="s">
        <v>130</v>
      </c>
      <c r="D25" s="233">
        <v>120</v>
      </c>
      <c r="E25" s="232">
        <v>5.4</v>
      </c>
      <c r="F25" s="232">
        <f t="shared" si="3"/>
        <v>648</v>
      </c>
      <c r="G25" s="233">
        <v>120</v>
      </c>
      <c r="H25" s="233">
        <f t="shared" si="4"/>
        <v>5.4</v>
      </c>
      <c r="I25" s="233">
        <f t="shared" si="1"/>
        <v>648</v>
      </c>
      <c r="J25" s="232">
        <f t="shared" si="0"/>
        <v>0</v>
      </c>
      <c r="K25" s="232">
        <f t="shared" si="2"/>
        <v>0</v>
      </c>
    </row>
    <row r="26" spans="1:12" ht="42.75">
      <c r="A26" s="198">
        <v>14</v>
      </c>
      <c r="B26" s="207" t="s">
        <v>132</v>
      </c>
      <c r="C26" s="201" t="s">
        <v>130</v>
      </c>
      <c r="D26" s="233">
        <v>100</v>
      </c>
      <c r="E26" s="232">
        <v>4.7</v>
      </c>
      <c r="F26" s="232">
        <f t="shared" si="3"/>
        <v>470</v>
      </c>
      <c r="G26" s="233">
        <v>100</v>
      </c>
      <c r="H26" s="233">
        <f t="shared" si="4"/>
        <v>4.7</v>
      </c>
      <c r="I26" s="233">
        <f t="shared" si="1"/>
        <v>470</v>
      </c>
      <c r="J26" s="232">
        <f t="shared" si="0"/>
        <v>0</v>
      </c>
      <c r="K26" s="232">
        <f t="shared" si="2"/>
        <v>0</v>
      </c>
    </row>
    <row r="27" spans="1:12" ht="42.75">
      <c r="A27" s="198">
        <v>15</v>
      </c>
      <c r="B27" s="207" t="s">
        <v>133</v>
      </c>
      <c r="C27" s="201" t="s">
        <v>130</v>
      </c>
      <c r="D27" s="233">
        <v>400</v>
      </c>
      <c r="E27" s="232">
        <v>4</v>
      </c>
      <c r="F27" s="232">
        <f t="shared" si="3"/>
        <v>1600</v>
      </c>
      <c r="G27" s="233">
        <v>400</v>
      </c>
      <c r="H27" s="233">
        <f t="shared" si="4"/>
        <v>4</v>
      </c>
      <c r="I27" s="233">
        <f t="shared" si="1"/>
        <v>1600</v>
      </c>
      <c r="J27" s="232">
        <f t="shared" si="0"/>
        <v>0</v>
      </c>
      <c r="K27" s="232">
        <f t="shared" si="2"/>
        <v>0</v>
      </c>
    </row>
    <row r="28" spans="1:12" s="221" customFormat="1" ht="71.25">
      <c r="A28" s="198">
        <v>16</v>
      </c>
      <c r="B28" s="208" t="s">
        <v>134</v>
      </c>
      <c r="C28" s="206" t="s">
        <v>135</v>
      </c>
      <c r="D28" s="232">
        <v>9</v>
      </c>
      <c r="E28" s="232">
        <v>201.96899999999997</v>
      </c>
      <c r="F28" s="232">
        <f t="shared" si="3"/>
        <v>1817.7209999999998</v>
      </c>
      <c r="G28" s="233">
        <v>9</v>
      </c>
      <c r="H28" s="233">
        <f t="shared" si="4"/>
        <v>201.96899999999997</v>
      </c>
      <c r="I28" s="233">
        <f t="shared" si="1"/>
        <v>1817.7209999999998</v>
      </c>
      <c r="J28" s="232">
        <f t="shared" si="0"/>
        <v>0</v>
      </c>
      <c r="K28" s="232">
        <f t="shared" si="2"/>
        <v>0</v>
      </c>
      <c r="L28" s="220"/>
    </row>
    <row r="29" spans="1:12" s="221" customFormat="1">
      <c r="A29" s="198">
        <v>17</v>
      </c>
      <c r="B29" s="208" t="s">
        <v>136</v>
      </c>
      <c r="C29" s="206" t="s">
        <v>135</v>
      </c>
      <c r="D29" s="232">
        <v>25</v>
      </c>
      <c r="E29" s="232">
        <v>80.569999999999993</v>
      </c>
      <c r="F29" s="232">
        <f t="shared" si="3"/>
        <v>2014.2499999999998</v>
      </c>
      <c r="G29" s="232">
        <v>25</v>
      </c>
      <c r="H29" s="233">
        <f t="shared" si="4"/>
        <v>80.569999999999993</v>
      </c>
      <c r="I29" s="233">
        <f t="shared" si="1"/>
        <v>2014.2499999999998</v>
      </c>
      <c r="J29" s="232">
        <f t="shared" si="0"/>
        <v>0</v>
      </c>
      <c r="K29" s="232">
        <f t="shared" si="2"/>
        <v>0</v>
      </c>
      <c r="L29" s="220"/>
    </row>
    <row r="30" spans="1:12" s="221" customFormat="1">
      <c r="A30" s="198">
        <v>18</v>
      </c>
      <c r="B30" s="208" t="s">
        <v>137</v>
      </c>
      <c r="C30" s="206" t="s">
        <v>135</v>
      </c>
      <c r="D30" s="232">
        <v>9</v>
      </c>
      <c r="E30" s="232">
        <v>40.299999999999997</v>
      </c>
      <c r="F30" s="232">
        <f t="shared" si="3"/>
        <v>362.7</v>
      </c>
      <c r="G30" s="232">
        <v>9</v>
      </c>
      <c r="H30" s="233">
        <f t="shared" si="4"/>
        <v>40.299999999999997</v>
      </c>
      <c r="I30" s="233">
        <f t="shared" si="1"/>
        <v>362.7</v>
      </c>
      <c r="J30" s="232">
        <f t="shared" si="0"/>
        <v>0</v>
      </c>
      <c r="K30" s="232">
        <f t="shared" si="2"/>
        <v>0</v>
      </c>
      <c r="L30" s="220"/>
    </row>
    <row r="31" spans="1:12" s="221" customFormat="1">
      <c r="A31" s="198">
        <v>19</v>
      </c>
      <c r="B31" s="208" t="s">
        <v>137</v>
      </c>
      <c r="C31" s="206" t="s">
        <v>135</v>
      </c>
      <c r="D31" s="232">
        <v>9</v>
      </c>
      <c r="E31" s="232">
        <v>35.630000000000003</v>
      </c>
      <c r="F31" s="232">
        <f t="shared" si="3"/>
        <v>320.67</v>
      </c>
      <c r="G31" s="232">
        <v>9</v>
      </c>
      <c r="H31" s="233">
        <f t="shared" si="4"/>
        <v>35.630000000000003</v>
      </c>
      <c r="I31" s="233">
        <f t="shared" si="1"/>
        <v>320.67</v>
      </c>
      <c r="J31" s="232">
        <f t="shared" si="0"/>
        <v>0</v>
      </c>
      <c r="K31" s="232">
        <f t="shared" si="2"/>
        <v>0</v>
      </c>
      <c r="L31" s="220"/>
    </row>
    <row r="32" spans="1:12" s="221" customFormat="1" ht="71.25">
      <c r="A32" s="198">
        <v>20</v>
      </c>
      <c r="B32" s="200" t="s">
        <v>138</v>
      </c>
      <c r="C32" s="206" t="s">
        <v>135</v>
      </c>
      <c r="D32" s="232">
        <v>14</v>
      </c>
      <c r="E32" s="232">
        <v>212.04000000000002</v>
      </c>
      <c r="F32" s="232">
        <f t="shared" si="3"/>
        <v>2968.5600000000004</v>
      </c>
      <c r="G32" s="233">
        <v>14</v>
      </c>
      <c r="H32" s="233">
        <f t="shared" si="4"/>
        <v>212.04000000000002</v>
      </c>
      <c r="I32" s="233">
        <f t="shared" si="1"/>
        <v>2968.5600000000004</v>
      </c>
      <c r="J32" s="232">
        <f t="shared" si="0"/>
        <v>0</v>
      </c>
      <c r="K32" s="232">
        <f t="shared" si="2"/>
        <v>0</v>
      </c>
      <c r="L32" s="220"/>
    </row>
    <row r="33" spans="1:12" s="221" customFormat="1">
      <c r="A33" s="198">
        <v>21</v>
      </c>
      <c r="B33" s="208" t="s">
        <v>139</v>
      </c>
      <c r="C33" s="206" t="s">
        <v>135</v>
      </c>
      <c r="D33" s="232">
        <f>14*3</f>
        <v>42</v>
      </c>
      <c r="E33" s="232">
        <v>123.04999999999998</v>
      </c>
      <c r="F33" s="232">
        <f t="shared" si="3"/>
        <v>5168.0999999999995</v>
      </c>
      <c r="G33" s="232">
        <v>42</v>
      </c>
      <c r="H33" s="233">
        <f t="shared" si="4"/>
        <v>123.04999999999998</v>
      </c>
      <c r="I33" s="233">
        <f t="shared" si="1"/>
        <v>5168.0999999999995</v>
      </c>
      <c r="J33" s="232">
        <f t="shared" si="0"/>
        <v>0</v>
      </c>
      <c r="K33" s="232">
        <f t="shared" si="2"/>
        <v>0</v>
      </c>
      <c r="L33" s="220"/>
    </row>
    <row r="34" spans="1:12" s="221" customFormat="1">
      <c r="A34" s="198">
        <v>22</v>
      </c>
      <c r="B34" s="208" t="s">
        <v>140</v>
      </c>
      <c r="C34" s="206" t="s">
        <v>135</v>
      </c>
      <c r="D34" s="232">
        <v>6</v>
      </c>
      <c r="E34" s="232">
        <v>61.57</v>
      </c>
      <c r="F34" s="232">
        <f t="shared" si="3"/>
        <v>369.42</v>
      </c>
      <c r="G34" s="232">
        <v>6</v>
      </c>
      <c r="H34" s="233">
        <f t="shared" si="4"/>
        <v>61.57</v>
      </c>
      <c r="I34" s="233">
        <f t="shared" si="1"/>
        <v>369.42</v>
      </c>
      <c r="J34" s="232">
        <f t="shared" si="0"/>
        <v>0</v>
      </c>
      <c r="K34" s="232">
        <f t="shared" si="2"/>
        <v>0</v>
      </c>
      <c r="L34" s="220"/>
    </row>
    <row r="35" spans="1:12">
      <c r="A35" s="198">
        <v>23</v>
      </c>
      <c r="B35" s="208" t="s">
        <v>141</v>
      </c>
      <c r="C35" s="206" t="s">
        <v>135</v>
      </c>
      <c r="D35" s="232">
        <v>14</v>
      </c>
      <c r="E35" s="232">
        <v>68.7</v>
      </c>
      <c r="F35" s="232">
        <f t="shared" si="3"/>
        <v>961.80000000000007</v>
      </c>
      <c r="G35" s="232">
        <v>14</v>
      </c>
      <c r="H35" s="233">
        <f t="shared" si="4"/>
        <v>68.7</v>
      </c>
      <c r="I35" s="233">
        <f t="shared" si="1"/>
        <v>961.80000000000007</v>
      </c>
      <c r="J35" s="232">
        <f t="shared" si="0"/>
        <v>0</v>
      </c>
      <c r="K35" s="232">
        <f t="shared" si="2"/>
        <v>0</v>
      </c>
    </row>
    <row r="36" spans="1:12" ht="28.5">
      <c r="A36" s="198">
        <v>24</v>
      </c>
      <c r="B36" s="207" t="s">
        <v>142</v>
      </c>
      <c r="C36" s="201" t="s">
        <v>200</v>
      </c>
      <c r="D36" s="233">
        <v>86.7</v>
      </c>
      <c r="E36" s="232">
        <v>5.8</v>
      </c>
      <c r="F36" s="232">
        <f t="shared" si="3"/>
        <v>502.86</v>
      </c>
      <c r="G36" s="233">
        <v>86.7</v>
      </c>
      <c r="H36" s="233">
        <f t="shared" si="4"/>
        <v>5.8</v>
      </c>
      <c r="I36" s="233">
        <f t="shared" si="1"/>
        <v>502.86</v>
      </c>
      <c r="J36" s="232">
        <f t="shared" si="0"/>
        <v>0</v>
      </c>
      <c r="K36" s="232">
        <f t="shared" si="2"/>
        <v>0</v>
      </c>
    </row>
    <row r="37" spans="1:12" ht="15.75">
      <c r="A37" s="198">
        <v>25</v>
      </c>
      <c r="B37" s="204" t="s">
        <v>143</v>
      </c>
      <c r="C37" s="201" t="s">
        <v>199</v>
      </c>
      <c r="D37" s="233">
        <v>12.65</v>
      </c>
      <c r="E37" s="232">
        <v>185.13000000000002</v>
      </c>
      <c r="F37" s="232">
        <f t="shared" si="3"/>
        <v>2341.8945000000003</v>
      </c>
      <c r="G37" s="233">
        <v>12.65</v>
      </c>
      <c r="H37" s="233">
        <f t="shared" si="4"/>
        <v>185.13000000000002</v>
      </c>
      <c r="I37" s="233">
        <f t="shared" si="1"/>
        <v>2341.8945000000003</v>
      </c>
      <c r="J37" s="232">
        <f t="shared" si="0"/>
        <v>0</v>
      </c>
      <c r="K37" s="232">
        <f t="shared" si="2"/>
        <v>0</v>
      </c>
    </row>
    <row r="38" spans="1:12" s="221" customFormat="1">
      <c r="A38" s="198">
        <v>26</v>
      </c>
      <c r="B38" s="207" t="s">
        <v>144</v>
      </c>
      <c r="C38" s="209" t="s">
        <v>145</v>
      </c>
      <c r="D38" s="233">
        <v>2</v>
      </c>
      <c r="E38" s="232">
        <v>194.87</v>
      </c>
      <c r="F38" s="232">
        <f t="shared" si="3"/>
        <v>389.74</v>
      </c>
      <c r="G38" s="233">
        <v>2</v>
      </c>
      <c r="H38" s="233">
        <f t="shared" si="4"/>
        <v>194.87</v>
      </c>
      <c r="I38" s="233">
        <f t="shared" si="1"/>
        <v>389.74</v>
      </c>
      <c r="J38" s="232">
        <f t="shared" si="0"/>
        <v>0</v>
      </c>
      <c r="K38" s="232">
        <f t="shared" si="2"/>
        <v>0</v>
      </c>
      <c r="L38" s="220"/>
    </row>
    <row r="39" spans="1:12" ht="28.5">
      <c r="A39" s="198">
        <v>27</v>
      </c>
      <c r="B39" s="207" t="s">
        <v>146</v>
      </c>
      <c r="C39" s="201" t="s">
        <v>147</v>
      </c>
      <c r="D39" s="233">
        <v>6614</v>
      </c>
      <c r="E39" s="232">
        <v>1.1500000000000001</v>
      </c>
      <c r="F39" s="232">
        <f t="shared" si="3"/>
        <v>7606.1000000000013</v>
      </c>
      <c r="G39" s="233">
        <v>6614</v>
      </c>
      <c r="H39" s="233">
        <f t="shared" si="4"/>
        <v>1.1500000000000001</v>
      </c>
      <c r="I39" s="233">
        <f t="shared" si="1"/>
        <v>7606.1000000000013</v>
      </c>
      <c r="J39" s="232">
        <f t="shared" si="0"/>
        <v>0</v>
      </c>
      <c r="K39" s="232">
        <f t="shared" si="2"/>
        <v>0</v>
      </c>
    </row>
    <row r="40" spans="1:12" s="221" customFormat="1">
      <c r="A40" s="210"/>
      <c r="B40" s="211" t="s">
        <v>148</v>
      </c>
      <c r="C40" s="210"/>
      <c r="D40" s="234"/>
      <c r="E40" s="234"/>
      <c r="F40" s="234">
        <f>SUM(F12:F39)</f>
        <v>178171.82749999998</v>
      </c>
      <c r="G40" s="233"/>
      <c r="H40" s="233"/>
      <c r="I40" s="234">
        <f>SUM(I12:I39)</f>
        <v>179515.1875</v>
      </c>
      <c r="J40" s="233"/>
      <c r="K40" s="234">
        <f>SUM(K12:K39)</f>
        <v>1343.3600000000004</v>
      </c>
      <c r="L40" s="220"/>
    </row>
    <row r="41" spans="1:12" s="221" customFormat="1">
      <c r="A41" s="210"/>
      <c r="B41" s="211" t="s">
        <v>100</v>
      </c>
      <c r="C41" s="212">
        <v>0.1</v>
      </c>
      <c r="D41" s="234"/>
      <c r="E41" s="234"/>
      <c r="F41" s="234">
        <f>F40*C41</f>
        <v>17817.18275</v>
      </c>
      <c r="G41" s="233"/>
      <c r="H41" s="233"/>
      <c r="I41" s="234">
        <f>I40*C41</f>
        <v>17951.518749999999</v>
      </c>
      <c r="J41" s="233"/>
      <c r="K41" s="234">
        <f>K40*C41</f>
        <v>134.33600000000004</v>
      </c>
      <c r="L41" s="220"/>
    </row>
    <row r="42" spans="1:12" s="221" customFormat="1">
      <c r="A42" s="210"/>
      <c r="B42" s="211" t="s">
        <v>4</v>
      </c>
      <c r="C42" s="210"/>
      <c r="D42" s="234"/>
      <c r="E42" s="234"/>
      <c r="F42" s="234">
        <f>F41+F40</f>
        <v>195989.01024999999</v>
      </c>
      <c r="G42" s="233"/>
      <c r="H42" s="233"/>
      <c r="I42" s="234">
        <f>I41+I40</f>
        <v>197466.70624999999</v>
      </c>
      <c r="J42" s="233"/>
      <c r="K42" s="234">
        <f>K40+K41</f>
        <v>1477.6960000000004</v>
      </c>
      <c r="L42" s="220"/>
    </row>
    <row r="43" spans="1:12" s="221" customFormat="1">
      <c r="A43" s="213"/>
      <c r="B43" s="211" t="s">
        <v>101</v>
      </c>
      <c r="C43" s="212">
        <v>0.08</v>
      </c>
      <c r="D43" s="234"/>
      <c r="E43" s="234"/>
      <c r="F43" s="234">
        <f>F42*C43</f>
        <v>15679.12082</v>
      </c>
      <c r="G43" s="233"/>
      <c r="H43" s="233"/>
      <c r="I43" s="234">
        <f>I42*C43</f>
        <v>15797.336499999999</v>
      </c>
      <c r="J43" s="233"/>
      <c r="K43" s="234">
        <f>K42*C43</f>
        <v>118.21568000000003</v>
      </c>
      <c r="L43" s="220"/>
    </row>
    <row r="44" spans="1:12" s="223" customFormat="1">
      <c r="A44" s="209"/>
      <c r="B44" s="211" t="s">
        <v>4</v>
      </c>
      <c r="C44" s="210"/>
      <c r="D44" s="234"/>
      <c r="E44" s="234"/>
      <c r="F44" s="234">
        <f>F43+F42</f>
        <v>211668.13107</v>
      </c>
      <c r="G44" s="233"/>
      <c r="H44" s="233"/>
      <c r="I44" s="234">
        <f>I43+I42</f>
        <v>213264.04274999999</v>
      </c>
      <c r="J44" s="233"/>
      <c r="K44" s="234">
        <f>K43+K42</f>
        <v>1595.9116800000004</v>
      </c>
      <c r="L44" s="222"/>
    </row>
    <row r="45" spans="1:12" s="223" customFormat="1">
      <c r="A45" s="209"/>
      <c r="B45" s="211" t="s">
        <v>102</v>
      </c>
      <c r="C45" s="212">
        <v>0.03</v>
      </c>
      <c r="D45" s="234"/>
      <c r="E45" s="234"/>
      <c r="F45" s="234">
        <f>F44*C45</f>
        <v>6350.0439320999994</v>
      </c>
      <c r="G45" s="233"/>
      <c r="H45" s="233"/>
      <c r="I45" s="234">
        <v>0</v>
      </c>
      <c r="J45" s="233"/>
      <c r="K45" s="234">
        <v>0</v>
      </c>
      <c r="L45" s="222"/>
    </row>
    <row r="46" spans="1:12" s="223" customFormat="1">
      <c r="A46" s="209"/>
      <c r="B46" s="211" t="s">
        <v>4</v>
      </c>
      <c r="C46" s="212"/>
      <c r="D46" s="234"/>
      <c r="E46" s="234"/>
      <c r="F46" s="234">
        <f>F44+F45</f>
        <v>218018.1750021</v>
      </c>
      <c r="G46" s="233"/>
      <c r="H46" s="233"/>
      <c r="I46" s="234">
        <f>I45+I44</f>
        <v>213264.04274999999</v>
      </c>
      <c r="J46" s="233"/>
      <c r="K46" s="234">
        <f>K45+K44</f>
        <v>1595.9116800000004</v>
      </c>
      <c r="L46" s="222"/>
    </row>
    <row r="47" spans="1:12" s="223" customFormat="1">
      <c r="A47" s="209"/>
      <c r="B47" s="211" t="s">
        <v>165</v>
      </c>
      <c r="C47" s="214">
        <v>0.18</v>
      </c>
      <c r="D47" s="234"/>
      <c r="E47" s="234"/>
      <c r="F47" s="234">
        <f>F46*C47</f>
        <v>39243.271500377996</v>
      </c>
      <c r="G47" s="233"/>
      <c r="H47" s="233"/>
      <c r="I47" s="234">
        <f>I46*C47</f>
        <v>38387.527694999997</v>
      </c>
      <c r="J47" s="233"/>
      <c r="K47" s="234">
        <f>K46*C47</f>
        <v>287.26410240000007</v>
      </c>
      <c r="L47" s="222"/>
    </row>
    <row r="48" spans="1:12" s="223" customFormat="1">
      <c r="A48" s="209"/>
      <c r="B48" s="211" t="s">
        <v>149</v>
      </c>
      <c r="C48" s="210"/>
      <c r="D48" s="234"/>
      <c r="E48" s="234"/>
      <c r="F48" s="234">
        <f>F47+F46</f>
        <v>257261.44650247801</v>
      </c>
      <c r="G48" s="233"/>
      <c r="H48" s="233"/>
      <c r="I48" s="234">
        <f>I47+I46</f>
        <v>251651.57044499999</v>
      </c>
      <c r="J48" s="233"/>
      <c r="K48" s="234">
        <f>K47+K46</f>
        <v>1883.1757824000006</v>
      </c>
      <c r="L48" s="222"/>
    </row>
    <row r="49" spans="1:12" s="223" customFormat="1">
      <c r="A49" s="220"/>
      <c r="B49" s="222"/>
      <c r="C49" s="222"/>
      <c r="D49" s="222"/>
      <c r="E49" s="222"/>
      <c r="F49" s="222"/>
      <c r="G49" s="222"/>
      <c r="H49" s="222"/>
      <c r="I49" s="222"/>
      <c r="J49" s="222"/>
      <c r="K49" s="224"/>
      <c r="L49" s="222"/>
    </row>
    <row r="50" spans="1:12" s="221" customFormat="1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5"/>
      <c r="L50" s="220"/>
    </row>
    <row r="51" spans="1:12" s="221" customFormat="1">
      <c r="A51" s="220"/>
      <c r="B51" s="220"/>
      <c r="C51" s="220"/>
      <c r="D51" s="220"/>
      <c r="E51" s="220"/>
      <c r="F51" s="220"/>
      <c r="G51" s="225"/>
      <c r="H51" s="220"/>
      <c r="I51" s="225"/>
      <c r="J51" s="220"/>
      <c r="K51" s="225"/>
      <c r="L51" s="226"/>
    </row>
    <row r="52" spans="1:12" s="221" customFormat="1">
      <c r="A52" s="220"/>
      <c r="B52" s="220"/>
      <c r="C52" s="220"/>
      <c r="D52" s="220"/>
      <c r="E52" s="220"/>
      <c r="F52" s="220"/>
      <c r="G52" s="220"/>
      <c r="H52" s="220"/>
      <c r="I52" s="226"/>
      <c r="J52" s="225"/>
      <c r="K52" s="225"/>
      <c r="L52" s="220"/>
    </row>
    <row r="53" spans="1:12" s="221" customFormat="1">
      <c r="A53" s="220"/>
      <c r="B53" s="220"/>
      <c r="C53" s="220"/>
      <c r="D53" s="220"/>
      <c r="E53" s="220"/>
      <c r="F53" s="220"/>
      <c r="G53" s="220"/>
      <c r="H53" s="220"/>
      <c r="I53" s="225"/>
      <c r="J53" s="220"/>
      <c r="K53" s="225"/>
      <c r="L53" s="220"/>
    </row>
    <row r="54" spans="1:12" s="221" customFormat="1">
      <c r="A54" s="220"/>
      <c r="B54" s="220"/>
      <c r="C54" s="220"/>
      <c r="D54" s="220"/>
      <c r="E54" s="220"/>
      <c r="F54" s="220"/>
      <c r="G54" s="220"/>
      <c r="H54" s="220"/>
      <c r="I54" s="227"/>
      <c r="J54" s="220"/>
      <c r="K54" s="225"/>
      <c r="L54" s="220"/>
    </row>
    <row r="55" spans="1:12" s="221" customFormat="1">
      <c r="A55" s="220"/>
      <c r="B55" s="220"/>
      <c r="C55" s="220"/>
      <c r="D55" s="220"/>
      <c r="E55" s="220"/>
      <c r="F55" s="220"/>
      <c r="G55" s="220"/>
      <c r="H55" s="220"/>
      <c r="I55" s="220"/>
      <c r="J55" s="220"/>
      <c r="K55" s="225"/>
      <c r="L55" s="220"/>
    </row>
  </sheetData>
  <mergeCells count="5">
    <mergeCell ref="A10:A11"/>
    <mergeCell ref="B10:B11"/>
    <mergeCell ref="C10:F10"/>
    <mergeCell ref="G10:I10"/>
    <mergeCell ref="J10:K10"/>
  </mergeCells>
  <pageMargins left="0.35416666666666669" right="0.2013888888888889" top="0.2361111111111111" bottom="0.2013888888888889" header="0.3" footer="0.3"/>
  <pageSetup orientation="landscape" r:id="rId1"/>
  <ignoredErrors>
    <ignoredError sqref="F12:K12 G42:H48 J42:J44 J46:J48 F40:K41 F14:K39 F13:G13 I13:K13 D33" unlockedFormula="1"/>
    <ignoredError sqref="F42:F48 I42:I44 K42:K44 I46:I48 K46:K48 J45" formula="1" unlockedFormula="1"/>
    <ignoredError sqref="H1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8"/>
  <sheetViews>
    <sheetView zoomScale="80" zoomScaleNormal="80" workbookViewId="0">
      <selection activeCell="O31" sqref="O31"/>
    </sheetView>
  </sheetViews>
  <sheetFormatPr defaultColWidth="8.85546875" defaultRowHeight="14.25"/>
  <cols>
    <col min="1" max="1" width="2.5703125" style="235" customWidth="1"/>
    <col min="2" max="2" width="62.140625" style="235" bestFit="1" customWidth="1"/>
    <col min="3" max="3" width="9.42578125" style="235" customWidth="1"/>
    <col min="4" max="4" width="8.85546875" style="235"/>
    <col min="5" max="5" width="11.28515625" style="235" customWidth="1"/>
    <col min="6" max="6" width="8.85546875" style="235"/>
    <col min="7" max="7" width="11.5703125" style="235" customWidth="1"/>
    <col min="8" max="16384" width="8.85546875" style="235"/>
  </cols>
  <sheetData>
    <row r="2" spans="2:23">
      <c r="B2" s="236"/>
      <c r="C2" s="236"/>
      <c r="D2" s="236"/>
      <c r="E2" s="236"/>
      <c r="F2" s="236"/>
      <c r="G2" s="236"/>
      <c r="H2" s="236"/>
    </row>
    <row r="3" spans="2:23">
      <c r="B3" s="257" t="s">
        <v>204</v>
      </c>
      <c r="C3" s="236"/>
      <c r="D3" s="236"/>
      <c r="E3" s="236"/>
      <c r="F3" s="236"/>
      <c r="G3" s="236"/>
      <c r="H3" s="236"/>
    </row>
    <row r="5" spans="2:23" s="215" customFormat="1">
      <c r="B5" s="255" t="s">
        <v>111</v>
      </c>
      <c r="C5" s="237" t="s">
        <v>112</v>
      </c>
      <c r="D5" s="237" t="s">
        <v>113</v>
      </c>
      <c r="E5" s="237" t="s">
        <v>151</v>
      </c>
      <c r="F5" s="237"/>
      <c r="G5" s="237" t="s">
        <v>152</v>
      </c>
      <c r="H5" s="237"/>
      <c r="I5" s="237" t="s">
        <v>153</v>
      </c>
      <c r="J5" s="237"/>
      <c r="K5" s="238" t="s">
        <v>154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</row>
    <row r="6" spans="2:23" s="215" customFormat="1" ht="28.5">
      <c r="B6" s="256"/>
      <c r="C6" s="237"/>
      <c r="D6" s="237"/>
      <c r="E6" s="238" t="s">
        <v>155</v>
      </c>
      <c r="F6" s="239" t="s">
        <v>4</v>
      </c>
      <c r="G6" s="238" t="s">
        <v>155</v>
      </c>
      <c r="H6" s="239" t="s">
        <v>4</v>
      </c>
      <c r="I6" s="238" t="s">
        <v>155</v>
      </c>
      <c r="J6" s="239" t="s">
        <v>114</v>
      </c>
      <c r="K6" s="238" t="s">
        <v>156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</row>
    <row r="7" spans="2:23" s="215" customFormat="1">
      <c r="B7" s="254" t="s">
        <v>161</v>
      </c>
      <c r="C7" s="198" t="s">
        <v>116</v>
      </c>
      <c r="D7" s="240">
        <v>1</v>
      </c>
      <c r="E7" s="241"/>
      <c r="F7" s="242">
        <f t="shared" ref="F7" si="0">E7*D7</f>
        <v>0</v>
      </c>
      <c r="G7" s="240">
        <v>9.6000000000000014</v>
      </c>
      <c r="H7" s="242">
        <f t="shared" ref="H7" si="1">G7*D7</f>
        <v>9.6000000000000014</v>
      </c>
      <c r="I7" s="240">
        <v>20.257421000000001</v>
      </c>
      <c r="J7" s="242">
        <f t="shared" ref="J7" si="2">I7*D7</f>
        <v>20.257421000000001</v>
      </c>
      <c r="K7" s="243">
        <f t="shared" ref="K7" si="3">F7+H7+J7</f>
        <v>29.857421000000002</v>
      </c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</row>
    <row r="9" spans="2:23">
      <c r="B9" s="258" t="s">
        <v>205</v>
      </c>
      <c r="C9" s="236"/>
      <c r="D9" s="236"/>
      <c r="E9" s="236"/>
      <c r="F9" s="236"/>
      <c r="G9" s="236"/>
      <c r="H9" s="236"/>
    </row>
    <row r="10" spans="2:23">
      <c r="B10" s="244"/>
      <c r="C10" s="244"/>
      <c r="D10" s="244"/>
      <c r="E10" s="244"/>
      <c r="F10" s="244"/>
      <c r="G10" s="244"/>
      <c r="H10" s="244"/>
    </row>
    <row r="11" spans="2:23" ht="42.75">
      <c r="B11" s="245" t="s">
        <v>111</v>
      </c>
      <c r="C11" s="245" t="str">
        <f>C5</f>
        <v>განზ. 
ერთ.</v>
      </c>
      <c r="D11" s="245" t="s">
        <v>157</v>
      </c>
      <c r="E11" s="245" t="s">
        <v>158</v>
      </c>
      <c r="F11" s="245" t="s">
        <v>159</v>
      </c>
      <c r="G11" s="245" t="s">
        <v>160</v>
      </c>
    </row>
    <row r="12" spans="2:23">
      <c r="B12" s="246" t="s">
        <v>115</v>
      </c>
      <c r="C12" s="247" t="str">
        <f>C7</f>
        <v>მ3</v>
      </c>
      <c r="D12" s="248">
        <v>182.16</v>
      </c>
      <c r="E12" s="248">
        <v>2</v>
      </c>
      <c r="F12" s="248">
        <v>0.1</v>
      </c>
      <c r="G12" s="249">
        <f>D12*E12*F12</f>
        <v>36.432000000000002</v>
      </c>
    </row>
    <row r="13" spans="2:23">
      <c r="B13" s="250"/>
      <c r="C13" s="251"/>
      <c r="D13" s="251"/>
      <c r="E13" s="251"/>
      <c r="F13" s="251"/>
      <c r="G13" s="251"/>
    </row>
    <row r="14" spans="2:23">
      <c r="B14" s="250"/>
      <c r="C14" s="251"/>
      <c r="D14" s="251"/>
      <c r="E14" s="251"/>
      <c r="F14" s="251"/>
      <c r="G14" s="251"/>
    </row>
    <row r="15" spans="2:23">
      <c r="B15" s="250" t="s">
        <v>163</v>
      </c>
      <c r="C15" s="251"/>
      <c r="D15" s="251"/>
      <c r="E15" s="251"/>
      <c r="F15" s="251"/>
      <c r="G15" s="251"/>
    </row>
    <row r="16" spans="2:23">
      <c r="B16" s="252" t="s">
        <v>164</v>
      </c>
      <c r="C16" s="251"/>
      <c r="D16" s="251"/>
      <c r="E16" s="251"/>
      <c r="F16" s="251"/>
      <c r="G16" s="251"/>
    </row>
    <row r="17" spans="2:9">
      <c r="B17" s="252"/>
      <c r="C17" s="251"/>
      <c r="D17" s="251"/>
      <c r="E17" s="251"/>
      <c r="F17" s="251"/>
      <c r="G17" s="251"/>
    </row>
    <row r="18" spans="2:9">
      <c r="B18" s="252"/>
      <c r="C18" s="251"/>
      <c r="D18" s="251"/>
      <c r="E18" s="251"/>
      <c r="F18" s="251"/>
      <c r="G18" s="251"/>
    </row>
    <row r="19" spans="2:9">
      <c r="B19" s="252"/>
      <c r="C19" s="251"/>
      <c r="D19" s="251"/>
      <c r="E19" s="251"/>
      <c r="F19" s="251"/>
      <c r="G19" s="251"/>
    </row>
    <row r="20" spans="2:9">
      <c r="B20" s="252"/>
      <c r="C20" s="251"/>
      <c r="D20" s="251"/>
      <c r="E20" s="251"/>
      <c r="F20" s="251"/>
      <c r="G20" s="251"/>
    </row>
    <row r="21" spans="2:9">
      <c r="B21" s="252"/>
    </row>
    <row r="22" spans="2:9">
      <c r="B22" s="252"/>
    </row>
    <row r="23" spans="2:9">
      <c r="B23" s="252"/>
    </row>
    <row r="24" spans="2:9">
      <c r="B24" s="259" t="s">
        <v>206</v>
      </c>
      <c r="C24" s="259"/>
      <c r="D24" s="259"/>
      <c r="E24" s="259"/>
      <c r="F24" s="259"/>
      <c r="G24" s="259"/>
      <c r="H24" s="259"/>
      <c r="I24" s="253"/>
    </row>
    <row r="25" spans="2:9">
      <c r="B25" s="259"/>
      <c r="C25" s="259"/>
      <c r="D25" s="259"/>
      <c r="E25" s="259"/>
      <c r="F25" s="259"/>
      <c r="G25" s="259"/>
      <c r="H25" s="259"/>
      <c r="I25" s="253"/>
    </row>
    <row r="26" spans="2:9">
      <c r="B26" s="253"/>
      <c r="C26" s="253"/>
      <c r="D26" s="253"/>
      <c r="E26" s="253"/>
      <c r="F26" s="253"/>
      <c r="G26" s="253"/>
      <c r="H26" s="253"/>
      <c r="I26" s="253"/>
    </row>
    <row r="27" spans="2:9">
      <c r="B27" s="253"/>
      <c r="C27" s="253"/>
      <c r="D27" s="253"/>
      <c r="E27" s="253"/>
      <c r="F27" s="253"/>
      <c r="G27" s="253"/>
      <c r="H27" s="253"/>
      <c r="I27" s="253"/>
    </row>
    <row r="28" spans="2:9">
      <c r="B28" s="253"/>
      <c r="C28" s="253"/>
      <c r="D28" s="253"/>
      <c r="E28" s="253"/>
      <c r="F28" s="253"/>
      <c r="G28" s="253"/>
      <c r="H28" s="253"/>
      <c r="I28" s="253"/>
    </row>
  </sheetData>
  <mergeCells count="8">
    <mergeCell ref="B16:B23"/>
    <mergeCell ref="B24:H25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ignoredErrors>
    <ignoredError sqref="F7 H7 J7:K7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topLeftCell="A25" workbookViewId="0">
      <selection activeCell="E80" sqref="E80"/>
    </sheetView>
  </sheetViews>
  <sheetFormatPr defaultColWidth="9.140625" defaultRowHeight="15"/>
  <cols>
    <col min="1" max="1" width="56.5703125" customWidth="1"/>
    <col min="2" max="2" width="21.85546875" customWidth="1"/>
    <col min="3" max="3" width="18.85546875" customWidth="1"/>
    <col min="4" max="4" width="14.28515625" hidden="1" customWidth="1"/>
    <col min="5" max="5" width="16.7109375" customWidth="1"/>
    <col min="6" max="6" width="17.7109375" customWidth="1"/>
    <col min="7" max="7" width="18.42578125" customWidth="1"/>
    <col min="8" max="9" width="12.85546875" style="2" bestFit="1" customWidth="1"/>
    <col min="10" max="10" width="9.140625" style="3" customWidth="1"/>
    <col min="11" max="11" width="27.28515625" customWidth="1"/>
    <col min="16" max="16" width="11.28515625" customWidth="1"/>
    <col min="254" max="254" width="41.140625" customWidth="1"/>
    <col min="255" max="255" width="16" customWidth="1"/>
    <col min="256" max="256" width="15.85546875" customWidth="1"/>
    <col min="257" max="257" width="17.42578125" customWidth="1"/>
    <col min="258" max="258" width="17.85546875" customWidth="1"/>
    <col min="259" max="259" width="17.42578125" customWidth="1"/>
    <col min="261" max="261" width="11.42578125" bestFit="1" customWidth="1"/>
    <col min="510" max="510" width="41.140625" customWidth="1"/>
    <col min="511" max="511" width="16" customWidth="1"/>
    <col min="512" max="512" width="15.85546875" customWidth="1"/>
    <col min="513" max="513" width="17.42578125" customWidth="1"/>
    <col min="514" max="514" width="17.85546875" customWidth="1"/>
    <col min="515" max="515" width="17.42578125" customWidth="1"/>
    <col min="517" max="517" width="11.42578125" bestFit="1" customWidth="1"/>
    <col min="766" max="766" width="41.140625" customWidth="1"/>
    <col min="767" max="767" width="16" customWidth="1"/>
    <col min="768" max="768" width="15.85546875" customWidth="1"/>
    <col min="769" max="769" width="17.42578125" customWidth="1"/>
    <col min="770" max="770" width="17.85546875" customWidth="1"/>
    <col min="771" max="771" width="17.42578125" customWidth="1"/>
    <col min="773" max="773" width="11.42578125" bestFit="1" customWidth="1"/>
    <col min="1022" max="1022" width="41.140625" customWidth="1"/>
    <col min="1023" max="1023" width="16" customWidth="1"/>
    <col min="1024" max="1024" width="15.85546875" customWidth="1"/>
    <col min="1025" max="1025" width="17.42578125" customWidth="1"/>
    <col min="1026" max="1026" width="17.85546875" customWidth="1"/>
    <col min="1027" max="1027" width="17.42578125" customWidth="1"/>
    <col min="1029" max="1029" width="11.42578125" bestFit="1" customWidth="1"/>
    <col min="1278" max="1278" width="41.140625" customWidth="1"/>
    <col min="1279" max="1279" width="16" customWidth="1"/>
    <col min="1280" max="1280" width="15.85546875" customWidth="1"/>
    <col min="1281" max="1281" width="17.42578125" customWidth="1"/>
    <col min="1282" max="1282" width="17.85546875" customWidth="1"/>
    <col min="1283" max="1283" width="17.42578125" customWidth="1"/>
    <col min="1285" max="1285" width="11.42578125" bestFit="1" customWidth="1"/>
    <col min="1534" max="1534" width="41.140625" customWidth="1"/>
    <col min="1535" max="1535" width="16" customWidth="1"/>
    <col min="1536" max="1536" width="15.85546875" customWidth="1"/>
    <col min="1537" max="1537" width="17.42578125" customWidth="1"/>
    <col min="1538" max="1538" width="17.85546875" customWidth="1"/>
    <col min="1539" max="1539" width="17.42578125" customWidth="1"/>
    <col min="1541" max="1541" width="11.42578125" bestFit="1" customWidth="1"/>
    <col min="1790" max="1790" width="41.140625" customWidth="1"/>
    <col min="1791" max="1791" width="16" customWidth="1"/>
    <col min="1792" max="1792" width="15.85546875" customWidth="1"/>
    <col min="1793" max="1793" width="17.42578125" customWidth="1"/>
    <col min="1794" max="1794" width="17.85546875" customWidth="1"/>
    <col min="1795" max="1795" width="17.42578125" customWidth="1"/>
    <col min="1797" max="1797" width="11.42578125" bestFit="1" customWidth="1"/>
    <col min="2046" max="2046" width="41.140625" customWidth="1"/>
    <col min="2047" max="2047" width="16" customWidth="1"/>
    <col min="2048" max="2048" width="15.85546875" customWidth="1"/>
    <col min="2049" max="2049" width="17.42578125" customWidth="1"/>
    <col min="2050" max="2050" width="17.85546875" customWidth="1"/>
    <col min="2051" max="2051" width="17.42578125" customWidth="1"/>
    <col min="2053" max="2053" width="11.42578125" bestFit="1" customWidth="1"/>
    <col min="2302" max="2302" width="41.140625" customWidth="1"/>
    <col min="2303" max="2303" width="16" customWidth="1"/>
    <col min="2304" max="2304" width="15.85546875" customWidth="1"/>
    <col min="2305" max="2305" width="17.42578125" customWidth="1"/>
    <col min="2306" max="2306" width="17.85546875" customWidth="1"/>
    <col min="2307" max="2307" width="17.42578125" customWidth="1"/>
    <col min="2309" max="2309" width="11.42578125" bestFit="1" customWidth="1"/>
    <col min="2558" max="2558" width="41.140625" customWidth="1"/>
    <col min="2559" max="2559" width="16" customWidth="1"/>
    <col min="2560" max="2560" width="15.85546875" customWidth="1"/>
    <col min="2561" max="2561" width="17.42578125" customWidth="1"/>
    <col min="2562" max="2562" width="17.85546875" customWidth="1"/>
    <col min="2563" max="2563" width="17.42578125" customWidth="1"/>
    <col min="2565" max="2565" width="11.42578125" bestFit="1" customWidth="1"/>
    <col min="2814" max="2814" width="41.140625" customWidth="1"/>
    <col min="2815" max="2815" width="16" customWidth="1"/>
    <col min="2816" max="2816" width="15.85546875" customWidth="1"/>
    <col min="2817" max="2817" width="17.42578125" customWidth="1"/>
    <col min="2818" max="2818" width="17.85546875" customWidth="1"/>
    <col min="2819" max="2819" width="17.42578125" customWidth="1"/>
    <col min="2821" max="2821" width="11.42578125" bestFit="1" customWidth="1"/>
    <col min="3070" max="3070" width="41.140625" customWidth="1"/>
    <col min="3071" max="3071" width="16" customWidth="1"/>
    <col min="3072" max="3072" width="15.85546875" customWidth="1"/>
    <col min="3073" max="3073" width="17.42578125" customWidth="1"/>
    <col min="3074" max="3074" width="17.85546875" customWidth="1"/>
    <col min="3075" max="3075" width="17.42578125" customWidth="1"/>
    <col min="3077" max="3077" width="11.42578125" bestFit="1" customWidth="1"/>
    <col min="3326" max="3326" width="41.140625" customWidth="1"/>
    <col min="3327" max="3327" width="16" customWidth="1"/>
    <col min="3328" max="3328" width="15.85546875" customWidth="1"/>
    <col min="3329" max="3329" width="17.42578125" customWidth="1"/>
    <col min="3330" max="3330" width="17.85546875" customWidth="1"/>
    <col min="3331" max="3331" width="17.42578125" customWidth="1"/>
    <col min="3333" max="3333" width="11.42578125" bestFit="1" customWidth="1"/>
    <col min="3582" max="3582" width="41.140625" customWidth="1"/>
    <col min="3583" max="3583" width="16" customWidth="1"/>
    <col min="3584" max="3584" width="15.85546875" customWidth="1"/>
    <col min="3585" max="3585" width="17.42578125" customWidth="1"/>
    <col min="3586" max="3586" width="17.85546875" customWidth="1"/>
    <col min="3587" max="3587" width="17.42578125" customWidth="1"/>
    <col min="3589" max="3589" width="11.42578125" bestFit="1" customWidth="1"/>
    <col min="3838" max="3838" width="41.140625" customWidth="1"/>
    <col min="3839" max="3839" width="16" customWidth="1"/>
    <col min="3840" max="3840" width="15.85546875" customWidth="1"/>
    <col min="3841" max="3841" width="17.42578125" customWidth="1"/>
    <col min="3842" max="3842" width="17.85546875" customWidth="1"/>
    <col min="3843" max="3843" width="17.42578125" customWidth="1"/>
    <col min="3845" max="3845" width="11.42578125" bestFit="1" customWidth="1"/>
    <col min="4094" max="4094" width="41.140625" customWidth="1"/>
    <col min="4095" max="4095" width="16" customWidth="1"/>
    <col min="4096" max="4096" width="15.85546875" customWidth="1"/>
    <col min="4097" max="4097" width="17.42578125" customWidth="1"/>
    <col min="4098" max="4098" width="17.85546875" customWidth="1"/>
    <col min="4099" max="4099" width="17.42578125" customWidth="1"/>
    <col min="4101" max="4101" width="11.42578125" bestFit="1" customWidth="1"/>
    <col min="4350" max="4350" width="41.140625" customWidth="1"/>
    <col min="4351" max="4351" width="16" customWidth="1"/>
    <col min="4352" max="4352" width="15.85546875" customWidth="1"/>
    <col min="4353" max="4353" width="17.42578125" customWidth="1"/>
    <col min="4354" max="4354" width="17.85546875" customWidth="1"/>
    <col min="4355" max="4355" width="17.42578125" customWidth="1"/>
    <col min="4357" max="4357" width="11.42578125" bestFit="1" customWidth="1"/>
    <col min="4606" max="4606" width="41.140625" customWidth="1"/>
    <col min="4607" max="4607" width="16" customWidth="1"/>
    <col min="4608" max="4608" width="15.85546875" customWidth="1"/>
    <col min="4609" max="4609" width="17.42578125" customWidth="1"/>
    <col min="4610" max="4610" width="17.85546875" customWidth="1"/>
    <col min="4611" max="4611" width="17.42578125" customWidth="1"/>
    <col min="4613" max="4613" width="11.42578125" bestFit="1" customWidth="1"/>
    <col min="4862" max="4862" width="41.140625" customWidth="1"/>
    <col min="4863" max="4863" width="16" customWidth="1"/>
    <col min="4864" max="4864" width="15.85546875" customWidth="1"/>
    <col min="4865" max="4865" width="17.42578125" customWidth="1"/>
    <col min="4866" max="4866" width="17.85546875" customWidth="1"/>
    <col min="4867" max="4867" width="17.42578125" customWidth="1"/>
    <col min="4869" max="4869" width="11.42578125" bestFit="1" customWidth="1"/>
    <col min="5118" max="5118" width="41.140625" customWidth="1"/>
    <col min="5119" max="5119" width="16" customWidth="1"/>
    <col min="5120" max="5120" width="15.85546875" customWidth="1"/>
    <col min="5121" max="5121" width="17.42578125" customWidth="1"/>
    <col min="5122" max="5122" width="17.85546875" customWidth="1"/>
    <col min="5123" max="5123" width="17.42578125" customWidth="1"/>
    <col min="5125" max="5125" width="11.42578125" bestFit="1" customWidth="1"/>
    <col min="5374" max="5374" width="41.140625" customWidth="1"/>
    <col min="5375" max="5375" width="16" customWidth="1"/>
    <col min="5376" max="5376" width="15.85546875" customWidth="1"/>
    <col min="5377" max="5377" width="17.42578125" customWidth="1"/>
    <col min="5378" max="5378" width="17.85546875" customWidth="1"/>
    <col min="5379" max="5379" width="17.42578125" customWidth="1"/>
    <col min="5381" max="5381" width="11.42578125" bestFit="1" customWidth="1"/>
    <col min="5630" max="5630" width="41.140625" customWidth="1"/>
    <col min="5631" max="5631" width="16" customWidth="1"/>
    <col min="5632" max="5632" width="15.85546875" customWidth="1"/>
    <col min="5633" max="5633" width="17.42578125" customWidth="1"/>
    <col min="5634" max="5634" width="17.85546875" customWidth="1"/>
    <col min="5635" max="5635" width="17.42578125" customWidth="1"/>
    <col min="5637" max="5637" width="11.42578125" bestFit="1" customWidth="1"/>
    <col min="5886" max="5886" width="41.140625" customWidth="1"/>
    <col min="5887" max="5887" width="16" customWidth="1"/>
    <col min="5888" max="5888" width="15.85546875" customWidth="1"/>
    <col min="5889" max="5889" width="17.42578125" customWidth="1"/>
    <col min="5890" max="5890" width="17.85546875" customWidth="1"/>
    <col min="5891" max="5891" width="17.42578125" customWidth="1"/>
    <col min="5893" max="5893" width="11.42578125" bestFit="1" customWidth="1"/>
    <col min="6142" max="6142" width="41.140625" customWidth="1"/>
    <col min="6143" max="6143" width="16" customWidth="1"/>
    <col min="6144" max="6144" width="15.85546875" customWidth="1"/>
    <col min="6145" max="6145" width="17.42578125" customWidth="1"/>
    <col min="6146" max="6146" width="17.85546875" customWidth="1"/>
    <col min="6147" max="6147" width="17.42578125" customWidth="1"/>
    <col min="6149" max="6149" width="11.42578125" bestFit="1" customWidth="1"/>
    <col min="6398" max="6398" width="41.140625" customWidth="1"/>
    <col min="6399" max="6399" width="16" customWidth="1"/>
    <col min="6400" max="6400" width="15.85546875" customWidth="1"/>
    <col min="6401" max="6401" width="17.42578125" customWidth="1"/>
    <col min="6402" max="6402" width="17.85546875" customWidth="1"/>
    <col min="6403" max="6403" width="17.42578125" customWidth="1"/>
    <col min="6405" max="6405" width="11.42578125" bestFit="1" customWidth="1"/>
    <col min="6654" max="6654" width="41.140625" customWidth="1"/>
    <col min="6655" max="6655" width="16" customWidth="1"/>
    <col min="6656" max="6656" width="15.85546875" customWidth="1"/>
    <col min="6657" max="6657" width="17.42578125" customWidth="1"/>
    <col min="6658" max="6658" width="17.85546875" customWidth="1"/>
    <col min="6659" max="6659" width="17.42578125" customWidth="1"/>
    <col min="6661" max="6661" width="11.42578125" bestFit="1" customWidth="1"/>
    <col min="6910" max="6910" width="41.140625" customWidth="1"/>
    <col min="6911" max="6911" width="16" customWidth="1"/>
    <col min="6912" max="6912" width="15.85546875" customWidth="1"/>
    <col min="6913" max="6913" width="17.42578125" customWidth="1"/>
    <col min="6914" max="6914" width="17.85546875" customWidth="1"/>
    <col min="6915" max="6915" width="17.42578125" customWidth="1"/>
    <col min="6917" max="6917" width="11.42578125" bestFit="1" customWidth="1"/>
    <col min="7166" max="7166" width="41.140625" customWidth="1"/>
    <col min="7167" max="7167" width="16" customWidth="1"/>
    <col min="7168" max="7168" width="15.85546875" customWidth="1"/>
    <col min="7169" max="7169" width="17.42578125" customWidth="1"/>
    <col min="7170" max="7170" width="17.85546875" customWidth="1"/>
    <col min="7171" max="7171" width="17.42578125" customWidth="1"/>
    <col min="7173" max="7173" width="11.42578125" bestFit="1" customWidth="1"/>
    <col min="7422" max="7422" width="41.140625" customWidth="1"/>
    <col min="7423" max="7423" width="16" customWidth="1"/>
    <col min="7424" max="7424" width="15.85546875" customWidth="1"/>
    <col min="7425" max="7425" width="17.42578125" customWidth="1"/>
    <col min="7426" max="7426" width="17.85546875" customWidth="1"/>
    <col min="7427" max="7427" width="17.42578125" customWidth="1"/>
    <col min="7429" max="7429" width="11.42578125" bestFit="1" customWidth="1"/>
    <col min="7678" max="7678" width="41.140625" customWidth="1"/>
    <col min="7679" max="7679" width="16" customWidth="1"/>
    <col min="7680" max="7680" width="15.85546875" customWidth="1"/>
    <col min="7681" max="7681" width="17.42578125" customWidth="1"/>
    <col min="7682" max="7682" width="17.85546875" customWidth="1"/>
    <col min="7683" max="7683" width="17.42578125" customWidth="1"/>
    <col min="7685" max="7685" width="11.42578125" bestFit="1" customWidth="1"/>
    <col min="7934" max="7934" width="41.140625" customWidth="1"/>
    <col min="7935" max="7935" width="16" customWidth="1"/>
    <col min="7936" max="7936" width="15.85546875" customWidth="1"/>
    <col min="7937" max="7937" width="17.42578125" customWidth="1"/>
    <col min="7938" max="7938" width="17.85546875" customWidth="1"/>
    <col min="7939" max="7939" width="17.42578125" customWidth="1"/>
    <col min="7941" max="7941" width="11.42578125" bestFit="1" customWidth="1"/>
    <col min="8190" max="8190" width="41.140625" customWidth="1"/>
    <col min="8191" max="8191" width="16" customWidth="1"/>
    <col min="8192" max="8192" width="15.85546875" customWidth="1"/>
    <col min="8193" max="8193" width="17.42578125" customWidth="1"/>
    <col min="8194" max="8194" width="17.85546875" customWidth="1"/>
    <col min="8195" max="8195" width="17.42578125" customWidth="1"/>
    <col min="8197" max="8197" width="11.42578125" bestFit="1" customWidth="1"/>
    <col min="8446" max="8446" width="41.140625" customWidth="1"/>
    <col min="8447" max="8447" width="16" customWidth="1"/>
    <col min="8448" max="8448" width="15.85546875" customWidth="1"/>
    <col min="8449" max="8449" width="17.42578125" customWidth="1"/>
    <col min="8450" max="8450" width="17.85546875" customWidth="1"/>
    <col min="8451" max="8451" width="17.42578125" customWidth="1"/>
    <col min="8453" max="8453" width="11.42578125" bestFit="1" customWidth="1"/>
    <col min="8702" max="8702" width="41.140625" customWidth="1"/>
    <col min="8703" max="8703" width="16" customWidth="1"/>
    <col min="8704" max="8704" width="15.85546875" customWidth="1"/>
    <col min="8705" max="8705" width="17.42578125" customWidth="1"/>
    <col min="8706" max="8706" width="17.85546875" customWidth="1"/>
    <col min="8707" max="8707" width="17.42578125" customWidth="1"/>
    <col min="8709" max="8709" width="11.42578125" bestFit="1" customWidth="1"/>
    <col min="8958" max="8958" width="41.140625" customWidth="1"/>
    <col min="8959" max="8959" width="16" customWidth="1"/>
    <col min="8960" max="8960" width="15.85546875" customWidth="1"/>
    <col min="8961" max="8961" width="17.42578125" customWidth="1"/>
    <col min="8962" max="8962" width="17.85546875" customWidth="1"/>
    <col min="8963" max="8963" width="17.42578125" customWidth="1"/>
    <col min="8965" max="8965" width="11.42578125" bestFit="1" customWidth="1"/>
    <col min="9214" max="9214" width="41.140625" customWidth="1"/>
    <col min="9215" max="9215" width="16" customWidth="1"/>
    <col min="9216" max="9216" width="15.85546875" customWidth="1"/>
    <col min="9217" max="9217" width="17.42578125" customWidth="1"/>
    <col min="9218" max="9218" width="17.85546875" customWidth="1"/>
    <col min="9219" max="9219" width="17.42578125" customWidth="1"/>
    <col min="9221" max="9221" width="11.42578125" bestFit="1" customWidth="1"/>
    <col min="9470" max="9470" width="41.140625" customWidth="1"/>
    <col min="9471" max="9471" width="16" customWidth="1"/>
    <col min="9472" max="9472" width="15.85546875" customWidth="1"/>
    <col min="9473" max="9473" width="17.42578125" customWidth="1"/>
    <col min="9474" max="9474" width="17.85546875" customWidth="1"/>
    <col min="9475" max="9475" width="17.42578125" customWidth="1"/>
    <col min="9477" max="9477" width="11.42578125" bestFit="1" customWidth="1"/>
    <col min="9726" max="9726" width="41.140625" customWidth="1"/>
    <col min="9727" max="9727" width="16" customWidth="1"/>
    <col min="9728" max="9728" width="15.85546875" customWidth="1"/>
    <col min="9729" max="9729" width="17.42578125" customWidth="1"/>
    <col min="9730" max="9730" width="17.85546875" customWidth="1"/>
    <col min="9731" max="9731" width="17.42578125" customWidth="1"/>
    <col min="9733" max="9733" width="11.42578125" bestFit="1" customWidth="1"/>
    <col min="9982" max="9982" width="41.140625" customWidth="1"/>
    <col min="9983" max="9983" width="16" customWidth="1"/>
    <col min="9984" max="9984" width="15.85546875" customWidth="1"/>
    <col min="9985" max="9985" width="17.42578125" customWidth="1"/>
    <col min="9986" max="9986" width="17.85546875" customWidth="1"/>
    <col min="9987" max="9987" width="17.42578125" customWidth="1"/>
    <col min="9989" max="9989" width="11.42578125" bestFit="1" customWidth="1"/>
    <col min="10238" max="10238" width="41.140625" customWidth="1"/>
    <col min="10239" max="10239" width="16" customWidth="1"/>
    <col min="10240" max="10240" width="15.85546875" customWidth="1"/>
    <col min="10241" max="10241" width="17.42578125" customWidth="1"/>
    <col min="10242" max="10242" width="17.85546875" customWidth="1"/>
    <col min="10243" max="10243" width="17.42578125" customWidth="1"/>
    <col min="10245" max="10245" width="11.42578125" bestFit="1" customWidth="1"/>
    <col min="10494" max="10494" width="41.140625" customWidth="1"/>
    <col min="10495" max="10495" width="16" customWidth="1"/>
    <col min="10496" max="10496" width="15.85546875" customWidth="1"/>
    <col min="10497" max="10497" width="17.42578125" customWidth="1"/>
    <col min="10498" max="10498" width="17.85546875" customWidth="1"/>
    <col min="10499" max="10499" width="17.42578125" customWidth="1"/>
    <col min="10501" max="10501" width="11.42578125" bestFit="1" customWidth="1"/>
    <col min="10750" max="10750" width="41.140625" customWidth="1"/>
    <col min="10751" max="10751" width="16" customWidth="1"/>
    <col min="10752" max="10752" width="15.85546875" customWidth="1"/>
    <col min="10753" max="10753" width="17.42578125" customWidth="1"/>
    <col min="10754" max="10754" width="17.85546875" customWidth="1"/>
    <col min="10755" max="10755" width="17.42578125" customWidth="1"/>
    <col min="10757" max="10757" width="11.42578125" bestFit="1" customWidth="1"/>
    <col min="11006" max="11006" width="41.140625" customWidth="1"/>
    <col min="11007" max="11007" width="16" customWidth="1"/>
    <col min="11008" max="11008" width="15.85546875" customWidth="1"/>
    <col min="11009" max="11009" width="17.42578125" customWidth="1"/>
    <col min="11010" max="11010" width="17.85546875" customWidth="1"/>
    <col min="11011" max="11011" width="17.42578125" customWidth="1"/>
    <col min="11013" max="11013" width="11.42578125" bestFit="1" customWidth="1"/>
    <col min="11262" max="11262" width="41.140625" customWidth="1"/>
    <col min="11263" max="11263" width="16" customWidth="1"/>
    <col min="11264" max="11264" width="15.85546875" customWidth="1"/>
    <col min="11265" max="11265" width="17.42578125" customWidth="1"/>
    <col min="11266" max="11266" width="17.85546875" customWidth="1"/>
    <col min="11267" max="11267" width="17.42578125" customWidth="1"/>
    <col min="11269" max="11269" width="11.42578125" bestFit="1" customWidth="1"/>
    <col min="11518" max="11518" width="41.140625" customWidth="1"/>
    <col min="11519" max="11519" width="16" customWidth="1"/>
    <col min="11520" max="11520" width="15.85546875" customWidth="1"/>
    <col min="11521" max="11521" width="17.42578125" customWidth="1"/>
    <col min="11522" max="11522" width="17.85546875" customWidth="1"/>
    <col min="11523" max="11523" width="17.42578125" customWidth="1"/>
    <col min="11525" max="11525" width="11.42578125" bestFit="1" customWidth="1"/>
    <col min="11774" max="11774" width="41.140625" customWidth="1"/>
    <col min="11775" max="11775" width="16" customWidth="1"/>
    <col min="11776" max="11776" width="15.85546875" customWidth="1"/>
    <col min="11777" max="11777" width="17.42578125" customWidth="1"/>
    <col min="11778" max="11778" width="17.85546875" customWidth="1"/>
    <col min="11779" max="11779" width="17.42578125" customWidth="1"/>
    <col min="11781" max="11781" width="11.42578125" bestFit="1" customWidth="1"/>
    <col min="12030" max="12030" width="41.140625" customWidth="1"/>
    <col min="12031" max="12031" width="16" customWidth="1"/>
    <col min="12032" max="12032" width="15.85546875" customWidth="1"/>
    <col min="12033" max="12033" width="17.42578125" customWidth="1"/>
    <col min="12034" max="12034" width="17.85546875" customWidth="1"/>
    <col min="12035" max="12035" width="17.42578125" customWidth="1"/>
    <col min="12037" max="12037" width="11.42578125" bestFit="1" customWidth="1"/>
    <col min="12286" max="12286" width="41.140625" customWidth="1"/>
    <col min="12287" max="12287" width="16" customWidth="1"/>
    <col min="12288" max="12288" width="15.85546875" customWidth="1"/>
    <col min="12289" max="12289" width="17.42578125" customWidth="1"/>
    <col min="12290" max="12290" width="17.85546875" customWidth="1"/>
    <col min="12291" max="12291" width="17.42578125" customWidth="1"/>
    <col min="12293" max="12293" width="11.42578125" bestFit="1" customWidth="1"/>
    <col min="12542" max="12542" width="41.140625" customWidth="1"/>
    <col min="12543" max="12543" width="16" customWidth="1"/>
    <col min="12544" max="12544" width="15.85546875" customWidth="1"/>
    <col min="12545" max="12545" width="17.42578125" customWidth="1"/>
    <col min="12546" max="12546" width="17.85546875" customWidth="1"/>
    <col min="12547" max="12547" width="17.42578125" customWidth="1"/>
    <col min="12549" max="12549" width="11.42578125" bestFit="1" customWidth="1"/>
    <col min="12798" max="12798" width="41.140625" customWidth="1"/>
    <col min="12799" max="12799" width="16" customWidth="1"/>
    <col min="12800" max="12800" width="15.85546875" customWidth="1"/>
    <col min="12801" max="12801" width="17.42578125" customWidth="1"/>
    <col min="12802" max="12802" width="17.85546875" customWidth="1"/>
    <col min="12803" max="12803" width="17.42578125" customWidth="1"/>
    <col min="12805" max="12805" width="11.42578125" bestFit="1" customWidth="1"/>
    <col min="13054" max="13054" width="41.140625" customWidth="1"/>
    <col min="13055" max="13055" width="16" customWidth="1"/>
    <col min="13056" max="13056" width="15.85546875" customWidth="1"/>
    <col min="13057" max="13057" width="17.42578125" customWidth="1"/>
    <col min="13058" max="13058" width="17.85546875" customWidth="1"/>
    <col min="13059" max="13059" width="17.42578125" customWidth="1"/>
    <col min="13061" max="13061" width="11.42578125" bestFit="1" customWidth="1"/>
    <col min="13310" max="13310" width="41.140625" customWidth="1"/>
    <col min="13311" max="13311" width="16" customWidth="1"/>
    <col min="13312" max="13312" width="15.85546875" customWidth="1"/>
    <col min="13313" max="13313" width="17.42578125" customWidth="1"/>
    <col min="13314" max="13314" width="17.85546875" customWidth="1"/>
    <col min="13315" max="13315" width="17.42578125" customWidth="1"/>
    <col min="13317" max="13317" width="11.42578125" bestFit="1" customWidth="1"/>
    <col min="13566" max="13566" width="41.140625" customWidth="1"/>
    <col min="13567" max="13567" width="16" customWidth="1"/>
    <col min="13568" max="13568" width="15.85546875" customWidth="1"/>
    <col min="13569" max="13569" width="17.42578125" customWidth="1"/>
    <col min="13570" max="13570" width="17.85546875" customWidth="1"/>
    <col min="13571" max="13571" width="17.42578125" customWidth="1"/>
    <col min="13573" max="13573" width="11.42578125" bestFit="1" customWidth="1"/>
    <col min="13822" max="13822" width="41.140625" customWidth="1"/>
    <col min="13823" max="13823" width="16" customWidth="1"/>
    <col min="13824" max="13824" width="15.85546875" customWidth="1"/>
    <col min="13825" max="13825" width="17.42578125" customWidth="1"/>
    <col min="13826" max="13826" width="17.85546875" customWidth="1"/>
    <col min="13827" max="13827" width="17.42578125" customWidth="1"/>
    <col min="13829" max="13829" width="11.42578125" bestFit="1" customWidth="1"/>
    <col min="14078" max="14078" width="41.140625" customWidth="1"/>
    <col min="14079" max="14079" width="16" customWidth="1"/>
    <col min="14080" max="14080" width="15.85546875" customWidth="1"/>
    <col min="14081" max="14081" width="17.42578125" customWidth="1"/>
    <col min="14082" max="14082" width="17.85546875" customWidth="1"/>
    <col min="14083" max="14083" width="17.42578125" customWidth="1"/>
    <col min="14085" max="14085" width="11.42578125" bestFit="1" customWidth="1"/>
    <col min="14334" max="14334" width="41.140625" customWidth="1"/>
    <col min="14335" max="14335" width="16" customWidth="1"/>
    <col min="14336" max="14336" width="15.85546875" customWidth="1"/>
    <col min="14337" max="14337" width="17.42578125" customWidth="1"/>
    <col min="14338" max="14338" width="17.85546875" customWidth="1"/>
    <col min="14339" max="14339" width="17.42578125" customWidth="1"/>
    <col min="14341" max="14341" width="11.42578125" bestFit="1" customWidth="1"/>
    <col min="14590" max="14590" width="41.140625" customWidth="1"/>
    <col min="14591" max="14591" width="16" customWidth="1"/>
    <col min="14592" max="14592" width="15.85546875" customWidth="1"/>
    <col min="14593" max="14593" width="17.42578125" customWidth="1"/>
    <col min="14594" max="14594" width="17.85546875" customWidth="1"/>
    <col min="14595" max="14595" width="17.42578125" customWidth="1"/>
    <col min="14597" max="14597" width="11.42578125" bestFit="1" customWidth="1"/>
    <col min="14846" max="14846" width="41.140625" customWidth="1"/>
    <col min="14847" max="14847" width="16" customWidth="1"/>
    <col min="14848" max="14848" width="15.85546875" customWidth="1"/>
    <col min="14849" max="14849" width="17.42578125" customWidth="1"/>
    <col min="14850" max="14850" width="17.85546875" customWidth="1"/>
    <col min="14851" max="14851" width="17.42578125" customWidth="1"/>
    <col min="14853" max="14853" width="11.42578125" bestFit="1" customWidth="1"/>
    <col min="15102" max="15102" width="41.140625" customWidth="1"/>
    <col min="15103" max="15103" width="16" customWidth="1"/>
    <col min="15104" max="15104" width="15.85546875" customWidth="1"/>
    <col min="15105" max="15105" width="17.42578125" customWidth="1"/>
    <col min="15106" max="15106" width="17.85546875" customWidth="1"/>
    <col min="15107" max="15107" width="17.42578125" customWidth="1"/>
    <col min="15109" max="15109" width="11.42578125" bestFit="1" customWidth="1"/>
    <col min="15358" max="15358" width="41.140625" customWidth="1"/>
    <col min="15359" max="15359" width="16" customWidth="1"/>
    <col min="15360" max="15360" width="15.85546875" customWidth="1"/>
    <col min="15361" max="15361" width="17.42578125" customWidth="1"/>
    <col min="15362" max="15362" width="17.85546875" customWidth="1"/>
    <col min="15363" max="15363" width="17.42578125" customWidth="1"/>
    <col min="15365" max="15365" width="11.42578125" bestFit="1" customWidth="1"/>
    <col min="15614" max="15614" width="41.140625" customWidth="1"/>
    <col min="15615" max="15615" width="16" customWidth="1"/>
    <col min="15616" max="15616" width="15.85546875" customWidth="1"/>
    <col min="15617" max="15617" width="17.42578125" customWidth="1"/>
    <col min="15618" max="15618" width="17.85546875" customWidth="1"/>
    <col min="15619" max="15619" width="17.42578125" customWidth="1"/>
    <col min="15621" max="15621" width="11.42578125" bestFit="1" customWidth="1"/>
    <col min="15870" max="15870" width="41.140625" customWidth="1"/>
    <col min="15871" max="15871" width="16" customWidth="1"/>
    <col min="15872" max="15872" width="15.85546875" customWidth="1"/>
    <col min="15873" max="15873" width="17.42578125" customWidth="1"/>
    <col min="15874" max="15874" width="17.85546875" customWidth="1"/>
    <col min="15875" max="15875" width="17.42578125" customWidth="1"/>
    <col min="15877" max="15877" width="11.42578125" bestFit="1" customWidth="1"/>
    <col min="16126" max="16126" width="41.140625" customWidth="1"/>
    <col min="16127" max="16127" width="16" customWidth="1"/>
    <col min="16128" max="16128" width="15.85546875" customWidth="1"/>
    <col min="16129" max="16129" width="17.42578125" customWidth="1"/>
    <col min="16130" max="16130" width="17.85546875" customWidth="1"/>
    <col min="16131" max="16131" width="17.42578125" customWidth="1"/>
    <col min="16133" max="16133" width="11.42578125" bestFit="1" customWidth="1"/>
  </cols>
  <sheetData>
    <row r="1" spans="1:9">
      <c r="A1" s="161"/>
      <c r="B1" s="161"/>
      <c r="C1" s="161"/>
      <c r="D1" s="161"/>
      <c r="E1" s="161"/>
      <c r="F1" s="163"/>
      <c r="G1" s="1"/>
    </row>
    <row r="2" spans="1:9">
      <c r="A2" s="161"/>
      <c r="B2" s="161"/>
      <c r="C2" s="161"/>
      <c r="D2" s="161"/>
      <c r="E2" s="161"/>
      <c r="F2" s="163"/>
      <c r="G2" s="4" t="s">
        <v>14</v>
      </c>
    </row>
    <row r="3" spans="1:9" ht="15.75">
      <c r="A3" s="164" t="s">
        <v>15</v>
      </c>
      <c r="B3" s="164"/>
      <c r="C3" s="164"/>
      <c r="D3" s="164"/>
      <c r="E3" s="164"/>
      <c r="F3" s="164"/>
      <c r="G3" s="5"/>
    </row>
    <row r="4" spans="1:9" ht="15.75">
      <c r="A4" s="6" t="s">
        <v>16</v>
      </c>
      <c r="B4" s="6"/>
      <c r="C4" s="7"/>
      <c r="D4" s="7"/>
      <c r="E4" s="7"/>
      <c r="F4" s="5"/>
      <c r="G4" s="5"/>
    </row>
    <row r="5" spans="1:9" ht="15.75">
      <c r="A5" s="6" t="s">
        <v>17</v>
      </c>
      <c r="B5" s="6"/>
      <c r="C5" s="8"/>
      <c r="D5" s="8"/>
      <c r="E5" s="8"/>
      <c r="F5" s="9"/>
      <c r="G5" s="5"/>
    </row>
    <row r="6" spans="1:9" ht="15.75">
      <c r="A6" s="6"/>
      <c r="B6" s="6"/>
      <c r="C6" s="10"/>
      <c r="D6" s="10"/>
      <c r="E6" s="10"/>
      <c r="F6" s="5"/>
      <c r="G6" s="5"/>
    </row>
    <row r="7" spans="1:9" ht="15.75">
      <c r="A7" s="6"/>
      <c r="B7" s="6"/>
      <c r="C7" s="10"/>
      <c r="D7" s="10"/>
      <c r="E7" s="10"/>
      <c r="F7" s="5"/>
      <c r="G7" s="5"/>
    </row>
    <row r="8" spans="1:9" ht="15.75">
      <c r="A8" s="6"/>
      <c r="B8" s="6"/>
      <c r="C8" s="10"/>
      <c r="D8" s="10"/>
      <c r="E8" s="10"/>
      <c r="F8" s="5"/>
      <c r="G8" s="5"/>
    </row>
    <row r="9" spans="1:9" ht="15.75">
      <c r="A9" s="165" t="s">
        <v>18</v>
      </c>
      <c r="B9" s="165"/>
      <c r="C9" s="165"/>
      <c r="D9" s="165"/>
      <c r="E9" s="165"/>
      <c r="F9" s="165"/>
      <c r="G9" s="165"/>
    </row>
    <row r="10" spans="1:9" ht="23.25">
      <c r="A10" s="166" t="s">
        <v>19</v>
      </c>
      <c r="B10" s="166"/>
      <c r="C10" s="166"/>
      <c r="D10" s="166"/>
      <c r="E10" s="166"/>
      <c r="F10" s="166"/>
      <c r="G10" s="166"/>
    </row>
    <row r="11" spans="1:9" ht="23.25">
      <c r="A11" s="11"/>
      <c r="B11" s="11"/>
      <c r="C11" s="11"/>
      <c r="D11" s="11"/>
      <c r="E11" s="11"/>
      <c r="F11" s="11"/>
      <c r="G11" s="11"/>
    </row>
    <row r="12" spans="1:9" ht="23.25">
      <c r="A12" s="166" t="s">
        <v>20</v>
      </c>
      <c r="B12" s="166"/>
      <c r="C12" s="166"/>
      <c r="D12" s="166"/>
      <c r="E12" s="166"/>
      <c r="F12" s="166"/>
      <c r="G12" s="166"/>
    </row>
    <row r="13" spans="1:9" ht="23.25">
      <c r="A13" s="11"/>
      <c r="B13" s="11"/>
      <c r="C13" s="11"/>
      <c r="D13" s="11"/>
      <c r="E13" s="11"/>
      <c r="F13" s="11"/>
      <c r="G13" s="11"/>
    </row>
    <row r="14" spans="1:9" ht="18.75" thickBot="1">
      <c r="A14" s="160"/>
      <c r="B14" s="160"/>
      <c r="C14" s="160"/>
      <c r="D14" s="160"/>
      <c r="E14" s="160"/>
      <c r="F14" s="160"/>
      <c r="G14" s="160"/>
    </row>
    <row r="15" spans="1:9" ht="15" customHeight="1">
      <c r="A15" s="12"/>
      <c r="B15" s="13" t="s">
        <v>21</v>
      </c>
      <c r="C15" s="13" t="s">
        <v>22</v>
      </c>
      <c r="D15" s="14" t="s">
        <v>23</v>
      </c>
      <c r="E15" s="13" t="s">
        <v>24</v>
      </c>
      <c r="F15" s="13" t="s">
        <v>25</v>
      </c>
      <c r="G15" s="13" t="s">
        <v>26</v>
      </c>
    </row>
    <row r="16" spans="1:9" ht="27" thickBot="1">
      <c r="A16" s="15" t="s">
        <v>27</v>
      </c>
      <c r="B16" s="16" t="s">
        <v>22</v>
      </c>
      <c r="C16" s="17" t="s">
        <v>28</v>
      </c>
      <c r="D16" s="18" t="s">
        <v>29</v>
      </c>
      <c r="E16" s="16" t="s">
        <v>30</v>
      </c>
      <c r="F16" s="16"/>
      <c r="G16" s="17" t="s">
        <v>31</v>
      </c>
      <c r="H16" s="2" t="s">
        <v>0</v>
      </c>
      <c r="I16" s="19" t="s">
        <v>32</v>
      </c>
    </row>
    <row r="17" spans="1:10" ht="15.75" thickBot="1">
      <c r="A17" s="20"/>
      <c r="B17" s="21"/>
      <c r="C17" s="22" t="s">
        <v>33</v>
      </c>
      <c r="D17" s="23" t="s">
        <v>33</v>
      </c>
      <c r="E17" s="22" t="s">
        <v>33</v>
      </c>
      <c r="F17" s="22" t="s">
        <v>33</v>
      </c>
      <c r="G17" s="24" t="s">
        <v>33</v>
      </c>
    </row>
    <row r="18" spans="1:10" ht="15" customHeight="1" thickBot="1">
      <c r="A18" s="25" t="s">
        <v>34</v>
      </c>
      <c r="B18" s="26"/>
      <c r="C18" s="26"/>
      <c r="D18" s="27"/>
      <c r="E18" s="26">
        <v>5951344.0599999996</v>
      </c>
      <c r="F18" s="26"/>
      <c r="G18" s="26"/>
    </row>
    <row r="19" spans="1:10" ht="15" customHeight="1" thickBot="1">
      <c r="A19" s="25" t="s">
        <v>35</v>
      </c>
      <c r="B19" s="26"/>
      <c r="C19" s="26"/>
      <c r="D19" s="28"/>
      <c r="E19" s="26"/>
      <c r="F19" s="26"/>
      <c r="G19" s="26"/>
    </row>
    <row r="20" spans="1:10" ht="15" customHeight="1" thickBot="1">
      <c r="A20" s="29" t="s">
        <v>36</v>
      </c>
      <c r="B20" s="26"/>
      <c r="C20" s="26"/>
      <c r="D20" s="28"/>
      <c r="E20" s="26"/>
      <c r="F20" s="26"/>
      <c r="G20" s="26"/>
    </row>
    <row r="21" spans="1:10" ht="15" customHeight="1" thickBot="1">
      <c r="A21" s="30" t="s">
        <v>37</v>
      </c>
      <c r="B21" s="26">
        <v>483456.46</v>
      </c>
      <c r="C21" s="26">
        <v>583456.46</v>
      </c>
      <c r="D21" s="26"/>
      <c r="E21" s="31">
        <v>387033.7</v>
      </c>
      <c r="F21" s="31">
        <v>11143.92</v>
      </c>
      <c r="G21" s="26">
        <f>E21+F21</f>
        <v>398177.62</v>
      </c>
      <c r="H21" s="32">
        <v>355989.92</v>
      </c>
      <c r="I21" s="32">
        <f>E21-H21</f>
        <v>31043.780000000028</v>
      </c>
      <c r="J21" s="33"/>
    </row>
    <row r="22" spans="1:10" ht="15" customHeight="1" thickBot="1">
      <c r="A22" s="30" t="s">
        <v>38</v>
      </c>
      <c r="B22" s="26">
        <v>8936.4</v>
      </c>
      <c r="C22" s="26">
        <v>8560.3700000000008</v>
      </c>
      <c r="D22" s="26"/>
      <c r="E22" s="31">
        <v>8560.3799999999992</v>
      </c>
      <c r="F22" s="31">
        <v>0</v>
      </c>
      <c r="G22" s="26">
        <f t="shared" ref="G22:G61" si="0">E22+F22</f>
        <v>8560.3799999999992</v>
      </c>
      <c r="H22" s="32">
        <v>8091.57</v>
      </c>
      <c r="I22" s="32">
        <f t="shared" ref="I22:I61" si="1">E22-H22</f>
        <v>468.80999999999949</v>
      </c>
      <c r="J22" s="33"/>
    </row>
    <row r="23" spans="1:10" ht="15" customHeight="1" thickBot="1">
      <c r="A23" s="30" t="s">
        <v>39</v>
      </c>
      <c r="B23" s="26">
        <v>3039422.06</v>
      </c>
      <c r="C23" s="26">
        <v>5056962.21</v>
      </c>
      <c r="D23" s="26"/>
      <c r="E23" s="31">
        <v>4099347.79</v>
      </c>
      <c r="F23" s="31">
        <v>149435.07999999999</v>
      </c>
      <c r="G23" s="26">
        <f t="shared" si="0"/>
        <v>4248782.87</v>
      </c>
      <c r="H23" s="32">
        <v>2715310.83</v>
      </c>
      <c r="I23" s="32">
        <f t="shared" si="1"/>
        <v>1384036.96</v>
      </c>
      <c r="J23" s="33"/>
    </row>
    <row r="24" spans="1:10" ht="15" customHeight="1" thickBot="1">
      <c r="A24" s="34" t="s">
        <v>40</v>
      </c>
      <c r="B24" s="31">
        <v>9077651.7599999998</v>
      </c>
      <c r="C24" s="31">
        <v>9748421.8699999992</v>
      </c>
      <c r="D24" s="31"/>
      <c r="E24" s="31">
        <v>4703539.99</v>
      </c>
      <c r="F24" s="31">
        <v>1009641.21</v>
      </c>
      <c r="G24" s="31">
        <f>E24+F24</f>
        <v>5713181.2000000002</v>
      </c>
      <c r="H24" s="32">
        <v>3492835.24</v>
      </c>
      <c r="I24" s="32">
        <f t="shared" si="1"/>
        <v>1210704.75</v>
      </c>
      <c r="J24" s="33"/>
    </row>
    <row r="25" spans="1:10" ht="15" customHeight="1" thickBot="1">
      <c r="A25" s="34" t="s">
        <v>41</v>
      </c>
      <c r="B25" s="31">
        <v>128921.61</v>
      </c>
      <c r="C25" s="31">
        <v>71297.56</v>
      </c>
      <c r="D25" s="31"/>
      <c r="E25" s="31">
        <v>71297.56</v>
      </c>
      <c r="F25" s="31">
        <v>0</v>
      </c>
      <c r="G25" s="31">
        <f t="shared" si="0"/>
        <v>71297.56</v>
      </c>
      <c r="H25" s="32">
        <v>54694.03</v>
      </c>
      <c r="I25" s="32">
        <f t="shared" si="1"/>
        <v>16603.53</v>
      </c>
      <c r="J25" s="33"/>
    </row>
    <row r="26" spans="1:10" ht="15" customHeight="1" thickBot="1">
      <c r="A26" s="34" t="s">
        <v>42</v>
      </c>
      <c r="B26" s="31">
        <v>3753713.61</v>
      </c>
      <c r="C26" s="31">
        <v>3542797.9</v>
      </c>
      <c r="D26" s="31"/>
      <c r="E26" s="31">
        <v>2616222.0099999998</v>
      </c>
      <c r="F26" s="31">
        <v>120883.62</v>
      </c>
      <c r="G26" s="31">
        <f>E26+F26</f>
        <v>2737105.63</v>
      </c>
      <c r="H26" s="35">
        <v>1934580.72</v>
      </c>
      <c r="I26" s="35">
        <f t="shared" si="1"/>
        <v>681641.2899999998</v>
      </c>
      <c r="J26" s="33"/>
    </row>
    <row r="27" spans="1:10" ht="15" customHeight="1" thickBot="1">
      <c r="A27" s="34" t="s">
        <v>43</v>
      </c>
      <c r="B27" s="31">
        <v>551108.27</v>
      </c>
      <c r="C27" s="31">
        <v>831650.24</v>
      </c>
      <c r="D27" s="31"/>
      <c r="E27" s="31">
        <v>291987.06</v>
      </c>
      <c r="F27" s="31">
        <v>104711.11</v>
      </c>
      <c r="G27" s="31">
        <f t="shared" si="0"/>
        <v>396698.17</v>
      </c>
      <c r="H27" s="35">
        <v>108002.7</v>
      </c>
      <c r="I27" s="32">
        <f t="shared" si="1"/>
        <v>183984.36</v>
      </c>
      <c r="J27" s="33"/>
    </row>
    <row r="28" spans="1:10" ht="15" customHeight="1" thickBot="1">
      <c r="A28" s="34" t="s">
        <v>44</v>
      </c>
      <c r="B28" s="31">
        <v>1837406.9</v>
      </c>
      <c r="C28" s="31">
        <v>2182885.4300000002</v>
      </c>
      <c r="D28" s="31"/>
      <c r="E28" s="31">
        <v>1707895.7</v>
      </c>
      <c r="F28" s="31">
        <v>39968.870000000003</v>
      </c>
      <c r="G28" s="31">
        <f t="shared" si="0"/>
        <v>1747864.57</v>
      </c>
      <c r="H28" s="32">
        <v>1540107.42</v>
      </c>
      <c r="I28" s="32">
        <f t="shared" si="1"/>
        <v>167788.28000000003</v>
      </c>
      <c r="J28" s="33"/>
    </row>
    <row r="29" spans="1:10" ht="15" customHeight="1" thickBot="1">
      <c r="A29" s="34" t="s">
        <v>45</v>
      </c>
      <c r="B29" s="31">
        <v>205102.48</v>
      </c>
      <c r="C29" s="31">
        <v>194101.72</v>
      </c>
      <c r="D29" s="31"/>
      <c r="E29" s="31">
        <v>25955.42</v>
      </c>
      <c r="F29" s="31">
        <v>52740.639999999999</v>
      </c>
      <c r="G29" s="31">
        <f t="shared" si="0"/>
        <v>78696.06</v>
      </c>
      <c r="H29" s="35">
        <v>25955.42</v>
      </c>
      <c r="I29" s="32">
        <f t="shared" si="1"/>
        <v>0</v>
      </c>
      <c r="J29" s="33"/>
    </row>
    <row r="30" spans="1:10" ht="15" customHeight="1" thickBot="1">
      <c r="A30" s="34" t="s">
        <v>46</v>
      </c>
      <c r="B30" s="31">
        <v>2250644.59</v>
      </c>
      <c r="C30" s="31">
        <v>1887425.74</v>
      </c>
      <c r="D30" s="31"/>
      <c r="E30" s="31">
        <v>469710.95</v>
      </c>
      <c r="F30" s="31">
        <v>21661.200000000001</v>
      </c>
      <c r="G30" s="31">
        <f t="shared" si="0"/>
        <v>491372.15</v>
      </c>
      <c r="H30" s="35">
        <v>443153.83</v>
      </c>
      <c r="I30" s="32">
        <f t="shared" si="1"/>
        <v>26557.119999999995</v>
      </c>
      <c r="J30" s="33"/>
    </row>
    <row r="31" spans="1:10" ht="15" customHeight="1" thickBot="1">
      <c r="A31" s="34" t="s">
        <v>47</v>
      </c>
      <c r="B31" s="31">
        <v>968887.22</v>
      </c>
      <c r="C31" s="31">
        <v>1251480.74</v>
      </c>
      <c r="D31" s="31"/>
      <c r="E31" s="31">
        <v>879213.23</v>
      </c>
      <c r="F31" s="31">
        <v>21177.96</v>
      </c>
      <c r="G31" s="31">
        <f t="shared" si="0"/>
        <v>900391.19</v>
      </c>
      <c r="H31" s="35">
        <v>465382.9</v>
      </c>
      <c r="I31" s="32">
        <f t="shared" si="1"/>
        <v>413830.32999999996</v>
      </c>
      <c r="J31" s="33"/>
    </row>
    <row r="32" spans="1:10" ht="15" customHeight="1" thickBot="1">
      <c r="A32" s="34" t="s">
        <v>48</v>
      </c>
      <c r="B32" s="31"/>
      <c r="C32" s="31">
        <v>422242.73</v>
      </c>
      <c r="D32" s="31"/>
      <c r="E32" s="31">
        <v>422242.76</v>
      </c>
      <c r="F32" s="31">
        <v>0</v>
      </c>
      <c r="G32" s="31">
        <f t="shared" si="0"/>
        <v>422242.76</v>
      </c>
      <c r="H32" s="32">
        <v>422242.76</v>
      </c>
      <c r="I32" s="32">
        <f t="shared" si="1"/>
        <v>0</v>
      </c>
      <c r="J32" s="33"/>
    </row>
    <row r="33" spans="1:10" ht="15" customHeight="1" thickBot="1">
      <c r="A33" s="36" t="s">
        <v>49</v>
      </c>
      <c r="B33" s="37"/>
      <c r="C33" s="31"/>
      <c r="D33" s="31"/>
      <c r="E33" s="31"/>
      <c r="F33" s="31"/>
      <c r="G33" s="31"/>
      <c r="H33" s="32"/>
      <c r="I33" s="32">
        <f t="shared" si="1"/>
        <v>0</v>
      </c>
      <c r="J33" s="33"/>
    </row>
    <row r="34" spans="1:10" ht="15" customHeight="1" thickBot="1">
      <c r="A34" s="34" t="s">
        <v>50</v>
      </c>
      <c r="B34" s="31">
        <v>389030.28</v>
      </c>
      <c r="C34" s="31">
        <v>389030.28</v>
      </c>
      <c r="D34" s="31"/>
      <c r="E34" s="31">
        <v>301805.38</v>
      </c>
      <c r="F34" s="31">
        <v>11671.97</v>
      </c>
      <c r="G34" s="31">
        <f t="shared" si="0"/>
        <v>313477.34999999998</v>
      </c>
      <c r="H34" s="32">
        <v>279388.40000000002</v>
      </c>
      <c r="I34" s="32">
        <f t="shared" si="1"/>
        <v>22416.979999999981</v>
      </c>
      <c r="J34" s="33"/>
    </row>
    <row r="35" spans="1:10" ht="15" customHeight="1" thickBot="1">
      <c r="A35" s="34" t="s">
        <v>51</v>
      </c>
      <c r="B35" s="31">
        <v>8448.1200000000008</v>
      </c>
      <c r="C35" s="31">
        <v>16447.12</v>
      </c>
      <c r="D35" s="31"/>
      <c r="E35" s="31">
        <v>11768.83</v>
      </c>
      <c r="F35" s="31">
        <v>0</v>
      </c>
      <c r="G35" s="31">
        <f t="shared" si="0"/>
        <v>11768.83</v>
      </c>
      <c r="H35" s="32">
        <v>11768.83</v>
      </c>
      <c r="I35" s="32">
        <f t="shared" si="1"/>
        <v>0</v>
      </c>
      <c r="J35" s="33"/>
    </row>
    <row r="36" spans="1:10" ht="15" customHeight="1" thickBot="1">
      <c r="A36" s="34" t="s">
        <v>52</v>
      </c>
      <c r="B36" s="31">
        <v>3032794</v>
      </c>
      <c r="C36" s="31">
        <v>4323577.92</v>
      </c>
      <c r="D36" s="31"/>
      <c r="E36" s="31">
        <v>2802649.47</v>
      </c>
      <c r="F36" s="31">
        <v>27069.88</v>
      </c>
      <c r="G36" s="31">
        <f t="shared" si="0"/>
        <v>2829719.35</v>
      </c>
      <c r="H36" s="32">
        <v>2334234.86</v>
      </c>
      <c r="I36" s="32">
        <f t="shared" si="1"/>
        <v>468414.61000000034</v>
      </c>
      <c r="J36" s="33"/>
    </row>
    <row r="37" spans="1:10" ht="15" customHeight="1" thickBot="1">
      <c r="A37" s="34" t="s">
        <v>53</v>
      </c>
      <c r="B37" s="31">
        <v>1753416.91</v>
      </c>
      <c r="C37" s="31">
        <v>2641291.46</v>
      </c>
      <c r="D37" s="31"/>
      <c r="E37" s="31">
        <v>1676899.58</v>
      </c>
      <c r="F37" s="31">
        <v>169446.41</v>
      </c>
      <c r="G37" s="31">
        <f t="shared" si="0"/>
        <v>1846345.99</v>
      </c>
      <c r="H37" s="32">
        <v>1236691.57</v>
      </c>
      <c r="I37" s="32">
        <f t="shared" si="1"/>
        <v>440208.01</v>
      </c>
      <c r="J37" s="33"/>
    </row>
    <row r="38" spans="1:10" ht="15" customHeight="1" thickBot="1">
      <c r="A38" s="34" t="s">
        <v>54</v>
      </c>
      <c r="B38" s="31">
        <v>283725.15000000002</v>
      </c>
      <c r="C38" s="31">
        <v>195257.99</v>
      </c>
      <c r="D38" s="31"/>
      <c r="E38" s="31">
        <v>69340.789999999994</v>
      </c>
      <c r="F38" s="31">
        <v>0</v>
      </c>
      <c r="G38" s="31">
        <f t="shared" si="0"/>
        <v>69340.789999999994</v>
      </c>
      <c r="H38" s="35">
        <v>67340.789999999994</v>
      </c>
      <c r="I38" s="32">
        <f t="shared" si="1"/>
        <v>2000</v>
      </c>
      <c r="J38" s="33"/>
    </row>
    <row r="39" spans="1:10" ht="15" customHeight="1" thickBot="1">
      <c r="A39" s="34" t="s">
        <v>55</v>
      </c>
      <c r="B39" s="31">
        <v>4342864.9000000004</v>
      </c>
      <c r="C39" s="31">
        <v>2695184.61</v>
      </c>
      <c r="D39" s="31"/>
      <c r="E39" s="31">
        <v>1280684.43</v>
      </c>
      <c r="F39" s="31">
        <v>0</v>
      </c>
      <c r="G39" s="31">
        <f>E39+F39</f>
        <v>1280684.43</v>
      </c>
      <c r="H39" s="32">
        <v>1317599.97</v>
      </c>
      <c r="I39" s="32">
        <f t="shared" si="1"/>
        <v>-36915.540000000037</v>
      </c>
      <c r="J39" s="33"/>
    </row>
    <row r="40" spans="1:10" ht="15" customHeight="1" thickBot="1">
      <c r="A40" s="34" t="s">
        <v>56</v>
      </c>
      <c r="B40" s="31">
        <v>592036.79</v>
      </c>
      <c r="C40" s="31">
        <v>860719.11</v>
      </c>
      <c r="D40" s="31"/>
      <c r="E40" s="31">
        <v>426231.85</v>
      </c>
      <c r="F40" s="31">
        <v>47708.93</v>
      </c>
      <c r="G40" s="31">
        <f t="shared" si="0"/>
        <v>473940.77999999997</v>
      </c>
      <c r="H40" s="35">
        <v>277574.12</v>
      </c>
      <c r="I40" s="32">
        <f t="shared" si="1"/>
        <v>148657.72999999998</v>
      </c>
      <c r="J40" s="33"/>
    </row>
    <row r="41" spans="1:10" ht="15" customHeight="1" thickBot="1">
      <c r="A41" s="34" t="s">
        <v>57</v>
      </c>
      <c r="B41" s="31">
        <v>4897825.95</v>
      </c>
      <c r="C41" s="31">
        <v>6176439.7300000004</v>
      </c>
      <c r="D41" s="31"/>
      <c r="E41" s="31">
        <v>3871113.05</v>
      </c>
      <c r="F41" s="31">
        <v>681277.38</v>
      </c>
      <c r="G41" s="31">
        <f t="shared" si="0"/>
        <v>4552390.43</v>
      </c>
      <c r="H41" s="32">
        <v>2808793.43</v>
      </c>
      <c r="I41" s="32">
        <f t="shared" si="1"/>
        <v>1062319.6199999996</v>
      </c>
      <c r="J41" s="33"/>
    </row>
    <row r="42" spans="1:10" ht="15" customHeight="1" thickBot="1">
      <c r="A42" s="34" t="s">
        <v>58</v>
      </c>
      <c r="B42" s="31">
        <v>336954.08</v>
      </c>
      <c r="C42" s="31">
        <v>299744.21000000002</v>
      </c>
      <c r="D42" s="31"/>
      <c r="E42" s="31">
        <v>34423.83</v>
      </c>
      <c r="F42" s="31">
        <v>19090.98</v>
      </c>
      <c r="G42" s="31">
        <f t="shared" si="0"/>
        <v>53514.81</v>
      </c>
      <c r="H42" s="35">
        <v>21054.36</v>
      </c>
      <c r="I42" s="32">
        <f t="shared" si="1"/>
        <v>13369.470000000001</v>
      </c>
      <c r="J42" s="33"/>
    </row>
    <row r="43" spans="1:10" ht="15" customHeight="1" thickBot="1">
      <c r="A43" s="34" t="s">
        <v>59</v>
      </c>
      <c r="B43" s="31">
        <v>110120.59</v>
      </c>
      <c r="C43" s="31">
        <v>326274.33</v>
      </c>
      <c r="D43" s="31"/>
      <c r="E43" s="31">
        <v>0</v>
      </c>
      <c r="F43" s="31">
        <v>0</v>
      </c>
      <c r="G43" s="31">
        <f t="shared" si="0"/>
        <v>0</v>
      </c>
      <c r="H43" s="35">
        <v>0</v>
      </c>
      <c r="I43" s="32">
        <f t="shared" si="1"/>
        <v>0</v>
      </c>
      <c r="J43" s="33"/>
    </row>
    <row r="44" spans="1:10" ht="15" customHeight="1" thickBot="1">
      <c r="A44" s="34" t="s">
        <v>60</v>
      </c>
      <c r="B44" s="31">
        <v>567718.13</v>
      </c>
      <c r="C44" s="31">
        <v>747474.81</v>
      </c>
      <c r="D44" s="31"/>
      <c r="E44" s="31">
        <v>577169.34</v>
      </c>
      <c r="F44" s="31">
        <v>32324.6</v>
      </c>
      <c r="G44" s="31">
        <f t="shared" si="0"/>
        <v>609493.93999999994</v>
      </c>
      <c r="H44" s="35">
        <v>244476.85</v>
      </c>
      <c r="I44" s="32">
        <f t="shared" si="1"/>
        <v>332692.49</v>
      </c>
      <c r="J44" s="33"/>
    </row>
    <row r="45" spans="1:10" ht="15" customHeight="1" thickBot="1">
      <c r="A45" s="36" t="s">
        <v>61</v>
      </c>
      <c r="B45" s="37"/>
      <c r="C45" s="31"/>
      <c r="D45" s="31"/>
      <c r="E45" s="31"/>
      <c r="F45" s="31"/>
      <c r="G45" s="31"/>
      <c r="H45" s="32"/>
      <c r="I45" s="32">
        <f t="shared" si="1"/>
        <v>0</v>
      </c>
      <c r="J45" s="33"/>
    </row>
    <row r="46" spans="1:10" ht="15" customHeight="1" thickBot="1">
      <c r="A46" s="34" t="s">
        <v>62</v>
      </c>
      <c r="B46" s="31">
        <v>250703.6</v>
      </c>
      <c r="C46" s="31">
        <v>274386.21999999997</v>
      </c>
      <c r="D46" s="31"/>
      <c r="E46" s="31">
        <v>274386.28000000003</v>
      </c>
      <c r="F46" s="31">
        <v>0</v>
      </c>
      <c r="G46" s="31">
        <f t="shared" si="0"/>
        <v>274386.28000000003</v>
      </c>
      <c r="H46" s="32">
        <v>260786.94</v>
      </c>
      <c r="I46" s="32">
        <f t="shared" si="1"/>
        <v>13599.340000000026</v>
      </c>
      <c r="J46" s="33"/>
    </row>
    <row r="47" spans="1:10" ht="15" customHeight="1" thickBot="1">
      <c r="A47" s="34" t="s">
        <v>63</v>
      </c>
      <c r="B47" s="31">
        <v>4980.91</v>
      </c>
      <c r="C47" s="31">
        <v>4980.91</v>
      </c>
      <c r="D47" s="31"/>
      <c r="E47" s="31">
        <v>4980.91</v>
      </c>
      <c r="F47" s="31">
        <v>0</v>
      </c>
      <c r="G47" s="31">
        <f t="shared" si="0"/>
        <v>4980.91</v>
      </c>
      <c r="H47" s="32">
        <v>4980.91</v>
      </c>
      <c r="I47" s="32">
        <f t="shared" si="1"/>
        <v>0</v>
      </c>
      <c r="J47" s="33"/>
    </row>
    <row r="48" spans="1:10" ht="15" customHeight="1" thickBot="1">
      <c r="A48" s="34" t="s">
        <v>64</v>
      </c>
      <c r="B48" s="31">
        <v>1502583.6</v>
      </c>
      <c r="C48" s="31">
        <v>1102947.56</v>
      </c>
      <c r="D48" s="31"/>
      <c r="E48" s="31">
        <v>1068706.93</v>
      </c>
      <c r="F48" s="31">
        <v>0</v>
      </c>
      <c r="G48" s="31">
        <f t="shared" si="0"/>
        <v>1068706.93</v>
      </c>
      <c r="H48" s="32">
        <v>1033393.63</v>
      </c>
      <c r="I48" s="32">
        <f t="shared" si="1"/>
        <v>35313.29999999993</v>
      </c>
      <c r="J48" s="33"/>
    </row>
    <row r="49" spans="1:11" ht="15" customHeight="1" thickBot="1">
      <c r="A49" s="34" t="s">
        <v>65</v>
      </c>
      <c r="B49" s="31">
        <v>5527222.2199999997</v>
      </c>
      <c r="C49" s="31">
        <v>4418107.3099999996</v>
      </c>
      <c r="D49" s="31"/>
      <c r="E49" s="31">
        <v>4378355.2300000004</v>
      </c>
      <c r="F49" s="31">
        <v>0</v>
      </c>
      <c r="G49" s="31">
        <f t="shared" si="0"/>
        <v>4378355.2300000004</v>
      </c>
      <c r="H49" s="32">
        <v>4339067.78</v>
      </c>
      <c r="I49" s="32">
        <f t="shared" si="1"/>
        <v>39287.450000000186</v>
      </c>
      <c r="J49" s="33"/>
    </row>
    <row r="50" spans="1:11" ht="15" customHeight="1" thickBot="1">
      <c r="A50" s="34" t="s">
        <v>66</v>
      </c>
      <c r="B50" s="31">
        <v>1214432.9099999999</v>
      </c>
      <c r="C50" s="31">
        <v>725160.7</v>
      </c>
      <c r="D50" s="31"/>
      <c r="E50" s="31">
        <v>717777.11</v>
      </c>
      <c r="F50" s="31">
        <v>0</v>
      </c>
      <c r="G50" s="31">
        <f t="shared" si="0"/>
        <v>717777.11</v>
      </c>
      <c r="H50" s="32">
        <v>654067.96</v>
      </c>
      <c r="I50" s="32">
        <f t="shared" si="1"/>
        <v>63709.150000000023</v>
      </c>
      <c r="J50" s="33"/>
    </row>
    <row r="51" spans="1:11" ht="15" customHeight="1" thickBot="1">
      <c r="A51" s="34" t="s">
        <v>67</v>
      </c>
      <c r="B51" s="31">
        <v>133395.09</v>
      </c>
      <c r="C51" s="31">
        <v>210774.98</v>
      </c>
      <c r="D51" s="31"/>
      <c r="E51" s="31">
        <v>210306.18</v>
      </c>
      <c r="F51" s="31">
        <v>0</v>
      </c>
      <c r="G51" s="31">
        <f t="shared" si="0"/>
        <v>210306.18</v>
      </c>
      <c r="H51" s="32">
        <v>183485.51</v>
      </c>
      <c r="I51" s="32">
        <f t="shared" si="1"/>
        <v>26820.669999999984</v>
      </c>
      <c r="J51" s="33"/>
    </row>
    <row r="52" spans="1:11" ht="15" customHeight="1" thickBot="1">
      <c r="A52" s="34" t="s">
        <v>68</v>
      </c>
      <c r="B52" s="31">
        <v>646547.93999999994</v>
      </c>
      <c r="C52" s="31">
        <v>576612.32999999996</v>
      </c>
      <c r="D52" s="31"/>
      <c r="E52" s="31">
        <v>567428.81000000006</v>
      </c>
      <c r="F52" s="31">
        <v>2444.37</v>
      </c>
      <c r="G52" s="31">
        <f t="shared" si="0"/>
        <v>569873.18000000005</v>
      </c>
      <c r="H52" s="32">
        <v>550434.36</v>
      </c>
      <c r="I52" s="32">
        <f t="shared" si="1"/>
        <v>16994.45000000007</v>
      </c>
      <c r="J52" s="33"/>
    </row>
    <row r="53" spans="1:11" ht="15" customHeight="1" thickBot="1">
      <c r="A53" s="34" t="s">
        <v>69</v>
      </c>
      <c r="B53" s="31">
        <v>117201.42</v>
      </c>
      <c r="C53" s="31">
        <v>237159.21</v>
      </c>
      <c r="D53" s="31"/>
      <c r="E53" s="31">
        <v>233674.33</v>
      </c>
      <c r="F53" s="31">
        <v>0</v>
      </c>
      <c r="G53" s="31">
        <f t="shared" si="0"/>
        <v>233674.33</v>
      </c>
      <c r="H53" s="32">
        <v>68238.23</v>
      </c>
      <c r="I53" s="32">
        <f t="shared" si="1"/>
        <v>165436.09999999998</v>
      </c>
      <c r="J53" s="33"/>
    </row>
    <row r="54" spans="1:11" ht="15" customHeight="1" thickBot="1">
      <c r="A54" s="34" t="s">
        <v>70</v>
      </c>
      <c r="B54" s="31">
        <v>99668.15</v>
      </c>
      <c r="C54" s="31">
        <v>84646.24</v>
      </c>
      <c r="D54" s="31"/>
      <c r="E54" s="31">
        <v>75927.490000000005</v>
      </c>
      <c r="F54" s="31">
        <v>1329.63</v>
      </c>
      <c r="G54" s="31">
        <f t="shared" si="0"/>
        <v>77257.12000000001</v>
      </c>
      <c r="H54" s="32">
        <v>56121.440000000002</v>
      </c>
      <c r="I54" s="32">
        <f t="shared" si="1"/>
        <v>19806.050000000003</v>
      </c>
      <c r="J54" s="33"/>
    </row>
    <row r="55" spans="1:11" ht="15" customHeight="1" thickBot="1">
      <c r="A55" s="34" t="s">
        <v>71</v>
      </c>
      <c r="B55" s="31">
        <v>556998.27</v>
      </c>
      <c r="C55" s="31">
        <v>591315.75</v>
      </c>
      <c r="D55" s="31"/>
      <c r="E55" s="31">
        <v>588847.15</v>
      </c>
      <c r="F55" s="31">
        <v>2408.2399999999998</v>
      </c>
      <c r="G55" s="31">
        <f t="shared" si="0"/>
        <v>591255.39</v>
      </c>
      <c r="H55" s="32">
        <v>460947.48</v>
      </c>
      <c r="I55" s="32">
        <f t="shared" si="1"/>
        <v>127899.67000000004</v>
      </c>
      <c r="J55" s="33"/>
    </row>
    <row r="56" spans="1:11" ht="15" customHeight="1" thickBot="1">
      <c r="A56" s="34" t="s">
        <v>72</v>
      </c>
      <c r="B56" s="31"/>
      <c r="C56" s="31">
        <v>330144.65000000002</v>
      </c>
      <c r="D56" s="31"/>
      <c r="E56" s="31">
        <v>330144.65000000002</v>
      </c>
      <c r="F56" s="31">
        <v>0</v>
      </c>
      <c r="G56" s="31">
        <f t="shared" si="0"/>
        <v>330144.65000000002</v>
      </c>
      <c r="H56" s="32">
        <v>97865.81</v>
      </c>
      <c r="I56" s="32">
        <f t="shared" si="1"/>
        <v>232278.84000000003</v>
      </c>
      <c r="J56" s="33"/>
    </row>
    <row r="57" spans="1:11" ht="15" customHeight="1" thickBot="1">
      <c r="A57" s="34" t="s">
        <v>73</v>
      </c>
      <c r="B57" s="37"/>
      <c r="C57" s="31">
        <v>182478.28</v>
      </c>
      <c r="D57" s="31"/>
      <c r="E57" s="31">
        <v>163718.82999999999</v>
      </c>
      <c r="F57" s="31">
        <v>0</v>
      </c>
      <c r="G57" s="31">
        <f t="shared" si="0"/>
        <v>163718.82999999999</v>
      </c>
      <c r="H57" s="32">
        <v>165178.34</v>
      </c>
      <c r="I57" s="32">
        <f t="shared" si="1"/>
        <v>-1459.5100000000093</v>
      </c>
      <c r="J57" s="33"/>
    </row>
    <row r="58" spans="1:11" ht="15" customHeight="1" thickBot="1">
      <c r="A58" s="34" t="s">
        <v>74</v>
      </c>
      <c r="B58" s="31"/>
      <c r="C58" s="31">
        <v>29608.74</v>
      </c>
      <c r="D58" s="31"/>
      <c r="E58" s="31">
        <v>26683.37</v>
      </c>
      <c r="F58" s="31">
        <v>2925.37</v>
      </c>
      <c r="G58" s="31">
        <f t="shared" si="0"/>
        <v>29608.739999999998</v>
      </c>
      <c r="H58" s="32">
        <v>13341.69</v>
      </c>
      <c r="I58" s="32">
        <f t="shared" si="1"/>
        <v>13341.679999999998</v>
      </c>
      <c r="J58" s="33"/>
    </row>
    <row r="59" spans="1:11" ht="15" customHeight="1" thickBot="1">
      <c r="A59" s="34" t="s">
        <v>75</v>
      </c>
      <c r="B59" s="37"/>
      <c r="C59" s="31">
        <v>281687.24</v>
      </c>
      <c r="D59" s="31"/>
      <c r="E59" s="31">
        <v>241680.59</v>
      </c>
      <c r="F59" s="31">
        <v>40006.660000000003</v>
      </c>
      <c r="G59" s="31">
        <f t="shared" si="0"/>
        <v>281687.25</v>
      </c>
      <c r="H59" s="32">
        <v>156972.4</v>
      </c>
      <c r="I59" s="32">
        <f t="shared" si="1"/>
        <v>84708.19</v>
      </c>
      <c r="J59" s="33"/>
    </row>
    <row r="60" spans="1:11" ht="15" customHeight="1" thickBot="1">
      <c r="A60" s="38" t="s">
        <v>76</v>
      </c>
      <c r="B60" s="31">
        <v>52743.5</v>
      </c>
      <c r="C60" s="31">
        <v>86400.85</v>
      </c>
      <c r="D60" s="31"/>
      <c r="E60" s="31">
        <v>34271.4</v>
      </c>
      <c r="F60" s="31">
        <v>0</v>
      </c>
      <c r="G60" s="31">
        <f t="shared" si="0"/>
        <v>34271.4</v>
      </c>
      <c r="H60" s="35">
        <v>22490.45</v>
      </c>
      <c r="I60" s="32">
        <f t="shared" si="1"/>
        <v>11780.95</v>
      </c>
      <c r="J60" s="33"/>
    </row>
    <row r="61" spans="1:11" ht="15" customHeight="1" thickBot="1">
      <c r="A61" s="38" t="s">
        <v>77</v>
      </c>
      <c r="B61" s="31">
        <v>208455.3</v>
      </c>
      <c r="C61" s="31">
        <v>208455.3</v>
      </c>
      <c r="D61" s="31"/>
      <c r="E61" s="31">
        <v>82143.66</v>
      </c>
      <c r="F61" s="31">
        <v>0</v>
      </c>
      <c r="G61" s="31">
        <f t="shared" si="0"/>
        <v>82143.66</v>
      </c>
      <c r="H61" s="35">
        <v>72793.06</v>
      </c>
      <c r="I61" s="32">
        <f t="shared" si="1"/>
        <v>9350.6000000000058</v>
      </c>
      <c r="J61" s="33"/>
    </row>
    <row r="62" spans="1:11" ht="15" customHeight="1" thickBot="1">
      <c r="A62" s="38" t="s">
        <v>78</v>
      </c>
      <c r="B62" s="31">
        <v>1500000</v>
      </c>
      <c r="C62" s="31">
        <v>1500000</v>
      </c>
      <c r="D62" s="31"/>
      <c r="E62" s="31">
        <v>225000</v>
      </c>
      <c r="F62" s="31">
        <f>C62*0.15</f>
        <v>225000</v>
      </c>
      <c r="G62" s="31">
        <f>E62+F62</f>
        <v>450000</v>
      </c>
      <c r="H62" s="35"/>
      <c r="I62" s="39"/>
      <c r="J62" s="33"/>
      <c r="K62" s="40">
        <f>SUM(G46:G59)</f>
        <v>8931732.1300000008</v>
      </c>
    </row>
    <row r="63" spans="1:11" ht="15" customHeight="1" thickBot="1">
      <c r="A63" s="38" t="s">
        <v>79</v>
      </c>
      <c r="B63" s="41">
        <f>SUM(B21:B62)</f>
        <v>50435119.170000002</v>
      </c>
      <c r="C63" s="41">
        <f t="shared" ref="C63:E63" si="2">SUM(C21:C62)</f>
        <v>55297590.810000002</v>
      </c>
      <c r="D63" s="41">
        <f t="shared" si="2"/>
        <v>0</v>
      </c>
      <c r="E63" s="41">
        <f t="shared" si="2"/>
        <v>35959126.019999996</v>
      </c>
      <c r="F63" s="41">
        <f>SUM(F21:F62)</f>
        <v>2794068.0300000003</v>
      </c>
      <c r="G63" s="41">
        <f>SUM(G21:G62)</f>
        <v>38753194.049999997</v>
      </c>
      <c r="H63" s="32"/>
      <c r="I63" s="42"/>
      <c r="J63" s="33"/>
      <c r="K63">
        <f>K62*10%</f>
        <v>893173.21300000011</v>
      </c>
    </row>
    <row r="64" spans="1:11" ht="15" customHeight="1" thickBot="1">
      <c r="A64" s="43" t="s">
        <v>80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K64">
        <f>K63/2</f>
        <v>446586.60650000005</v>
      </c>
    </row>
    <row r="65" spans="1:10" ht="17.25" customHeight="1" thickBot="1">
      <c r="A65" s="44"/>
      <c r="B65" s="45"/>
      <c r="C65" s="45"/>
      <c r="D65" s="45"/>
      <c r="E65" s="45"/>
      <c r="F65" s="45"/>
      <c r="G65" s="45"/>
      <c r="H65" s="32"/>
    </row>
    <row r="66" spans="1:10" ht="15" customHeight="1" thickBot="1">
      <c r="A66" s="43" t="s">
        <v>81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</row>
    <row r="67" spans="1:10" ht="15" customHeight="1" thickBot="1">
      <c r="A67" s="34"/>
      <c r="B67" s="34"/>
      <c r="C67" s="41"/>
      <c r="D67" s="41">
        <v>0</v>
      </c>
      <c r="E67" s="41"/>
      <c r="F67" s="41"/>
      <c r="G67" s="41">
        <f>+F67+E67</f>
        <v>0</v>
      </c>
    </row>
    <row r="68" spans="1:10" ht="16.5" customHeight="1" thickBot="1">
      <c r="A68" s="46" t="s">
        <v>82</v>
      </c>
      <c r="B68" s="46"/>
      <c r="C68" s="47"/>
      <c r="D68" s="47">
        <f>SUM(D21:D67)</f>
        <v>0</v>
      </c>
      <c r="E68" s="47">
        <f>+E63+E67</f>
        <v>35959126.019999996</v>
      </c>
      <c r="F68" s="47">
        <f>+F63+F67</f>
        <v>2794068.0300000003</v>
      </c>
      <c r="G68" s="48">
        <f>+G63+G67</f>
        <v>38753194.049999997</v>
      </c>
    </row>
    <row r="69" spans="1:10" ht="18" customHeight="1" thickBot="1">
      <c r="A69" s="46" t="s">
        <v>83</v>
      </c>
      <c r="B69" s="46"/>
      <c r="C69" s="47"/>
      <c r="D69" s="47"/>
      <c r="E69" s="47">
        <f>E68</f>
        <v>35959126.019999996</v>
      </c>
      <c r="F69" s="47">
        <f>F68</f>
        <v>2794068.0300000003</v>
      </c>
      <c r="G69" s="48">
        <f>G68</f>
        <v>38753194.049999997</v>
      </c>
    </row>
    <row r="70" spans="1:10" ht="18" customHeight="1" thickBot="1">
      <c r="A70" s="46" t="s">
        <v>84</v>
      </c>
      <c r="B70" s="47">
        <f>B63*1.18</f>
        <v>59513440.6206</v>
      </c>
      <c r="C70" s="47">
        <f>C63*1.18</f>
        <v>65251157.1558</v>
      </c>
      <c r="D70" s="47"/>
      <c r="E70" s="47">
        <f>E69*1.18-0.01</f>
        <v>42431768.693599992</v>
      </c>
      <c r="F70" s="47">
        <f>F69*1.18</f>
        <v>3297000.2754000002</v>
      </c>
      <c r="G70" s="48">
        <f>E70+F70</f>
        <v>45728768.968999989</v>
      </c>
      <c r="H70" s="32">
        <v>33400415.07</v>
      </c>
      <c r="I70" s="32">
        <f>E70-H70</f>
        <v>9031353.6235999912</v>
      </c>
      <c r="J70" s="33"/>
    </row>
    <row r="71" spans="1:10" ht="15" customHeight="1" thickBot="1">
      <c r="A71" s="46" t="s">
        <v>85</v>
      </c>
      <c r="B71" s="46"/>
      <c r="C71" s="45"/>
      <c r="D71" s="45"/>
      <c r="E71" s="47"/>
      <c r="F71" s="47"/>
      <c r="G71" s="49"/>
    </row>
    <row r="72" spans="1:10" ht="15" customHeight="1" thickBot="1">
      <c r="A72" s="50" t="s">
        <v>86</v>
      </c>
      <c r="B72" s="51"/>
      <c r="C72" s="51"/>
      <c r="D72" s="51"/>
      <c r="E72" s="52">
        <f>(E70*0.1)</f>
        <v>4243176.869359999</v>
      </c>
      <c r="F72" s="52">
        <f>F70*0.1</f>
        <v>329700.02754000004</v>
      </c>
      <c r="G72" s="53">
        <f>F72+E72</f>
        <v>4572876.8968999991</v>
      </c>
    </row>
    <row r="73" spans="1:10" ht="15" customHeight="1" thickBot="1">
      <c r="A73" s="50" t="s">
        <v>87</v>
      </c>
      <c r="B73" s="51"/>
      <c r="C73" s="51"/>
      <c r="D73" s="51"/>
      <c r="E73" s="52">
        <v>6525115.7199999997</v>
      </c>
      <c r="F73" s="52">
        <f>C70*0.1-E73</f>
        <v>-4.4199991971254349E-3</v>
      </c>
      <c r="G73" s="53">
        <f>F73+E73</f>
        <v>6525115.7155800005</v>
      </c>
    </row>
    <row r="74" spans="1:10" ht="15.75" thickBot="1">
      <c r="A74" s="50" t="s">
        <v>88</v>
      </c>
      <c r="B74" s="51"/>
      <c r="C74" s="51"/>
      <c r="D74" s="51"/>
      <c r="E74" s="52"/>
      <c r="F74" s="54">
        <f>-((SUM(G46:G59)*1.18)*0.05)</f>
        <v>-526972.19567000004</v>
      </c>
      <c r="G74" s="53"/>
    </row>
    <row r="75" spans="1:10" ht="29.25" customHeight="1" thickBot="1">
      <c r="A75" s="55" t="s">
        <v>89</v>
      </c>
      <c r="B75" s="51"/>
      <c r="C75" s="51"/>
      <c r="D75" s="51"/>
      <c r="E75" s="52">
        <v>9250</v>
      </c>
      <c r="F75" s="52"/>
      <c r="G75" s="53">
        <f>F75+E75</f>
        <v>9250</v>
      </c>
    </row>
    <row r="76" spans="1:10" ht="15" customHeight="1" thickBot="1">
      <c r="A76" s="46" t="s">
        <v>90</v>
      </c>
      <c r="B76" s="56"/>
      <c r="C76" s="51"/>
      <c r="D76" s="51"/>
      <c r="E76" s="52">
        <f>SUM(E72:E75)</f>
        <v>10777542.589359999</v>
      </c>
      <c r="F76" s="52">
        <f>SUM(F72:F75)</f>
        <v>-197272.1725499992</v>
      </c>
      <c r="G76" s="53">
        <f>SUM(G72:G75)</f>
        <v>11107242.61248</v>
      </c>
    </row>
    <row r="77" spans="1:10" ht="15" customHeight="1" thickBot="1">
      <c r="A77" s="57" t="s">
        <v>91</v>
      </c>
      <c r="B77" s="58"/>
      <c r="C77" s="58"/>
      <c r="D77" s="58"/>
      <c r="E77" s="47">
        <f>E70-E76</f>
        <v>31654226.104239993</v>
      </c>
      <c r="F77" s="47">
        <f>F70-F76</f>
        <v>3494272.4479499995</v>
      </c>
      <c r="G77" s="48">
        <f>G70-G76</f>
        <v>34621526.35651999</v>
      </c>
    </row>
    <row r="78" spans="1:10" ht="15" customHeight="1" thickBot="1">
      <c r="A78" s="57" t="s">
        <v>92</v>
      </c>
      <c r="B78" s="58"/>
      <c r="C78" s="58"/>
      <c r="D78" s="58"/>
      <c r="E78" s="47"/>
      <c r="F78" s="47"/>
      <c r="G78" s="49"/>
    </row>
    <row r="79" spans="1:10" ht="15" customHeight="1" thickBot="1">
      <c r="A79" s="50" t="s">
        <v>93</v>
      </c>
      <c r="B79" s="51"/>
      <c r="C79" s="51"/>
      <c r="D79" s="51"/>
      <c r="E79" s="52">
        <v>0</v>
      </c>
      <c r="F79" s="52">
        <v>0</v>
      </c>
      <c r="G79" s="53">
        <v>0</v>
      </c>
    </row>
    <row r="80" spans="1:10" ht="15" customHeight="1" thickBot="1">
      <c r="A80" s="57" t="s">
        <v>94</v>
      </c>
      <c r="B80" s="58"/>
      <c r="C80" s="58"/>
      <c r="D80" s="58"/>
      <c r="E80" s="47">
        <f t="shared" ref="E80:G81" si="3">E77+E79</f>
        <v>31654226.104239993</v>
      </c>
      <c r="F80" s="47">
        <f>F77+F79</f>
        <v>3494272.4479499995</v>
      </c>
      <c r="G80" s="48">
        <f t="shared" si="3"/>
        <v>34621526.35651999</v>
      </c>
    </row>
    <row r="81" spans="1:21" ht="21" customHeight="1" thickBot="1">
      <c r="A81" s="59" t="s">
        <v>95</v>
      </c>
      <c r="B81" s="46"/>
      <c r="C81" s="43"/>
      <c r="D81" s="43"/>
      <c r="E81" s="47">
        <f t="shared" si="3"/>
        <v>31654226.104239993</v>
      </c>
      <c r="F81" s="47">
        <f t="shared" si="3"/>
        <v>3494272.4479499995</v>
      </c>
      <c r="G81" s="48">
        <f t="shared" si="3"/>
        <v>34621526.35651999</v>
      </c>
    </row>
    <row r="82" spans="1:21" ht="18" customHeight="1">
      <c r="F82" s="60"/>
      <c r="G82" s="5"/>
    </row>
    <row r="83" spans="1:21" s="61" customFormat="1">
      <c r="A83" s="61" t="s">
        <v>96</v>
      </c>
      <c r="E83" s="62"/>
      <c r="F83" s="63">
        <f>F81/C70</f>
        <v>5.355111848218623E-2</v>
      </c>
      <c r="G83" s="64"/>
      <c r="H83" s="65"/>
      <c r="I83" s="65"/>
      <c r="J83" s="66"/>
    </row>
    <row r="84" spans="1:21">
      <c r="A84" s="67" t="s">
        <v>97</v>
      </c>
      <c r="B84" s="67"/>
      <c r="E84" s="68"/>
      <c r="F84" s="69"/>
      <c r="G84" s="70"/>
    </row>
    <row r="85" spans="1:21">
      <c r="A85" t="s">
        <v>98</v>
      </c>
      <c r="E85" s="40"/>
      <c r="F85" s="71"/>
      <c r="G85" s="5"/>
    </row>
    <row r="86" spans="1:21">
      <c r="A86" s="161"/>
      <c r="B86" s="161"/>
      <c r="C86" s="161"/>
      <c r="D86" s="161"/>
      <c r="E86" s="161"/>
      <c r="F86" s="5"/>
      <c r="G86" s="10"/>
    </row>
    <row r="87" spans="1:21">
      <c r="A87" s="8" t="s">
        <v>7</v>
      </c>
      <c r="B87" s="8"/>
      <c r="C87" s="8"/>
      <c r="D87" s="8"/>
      <c r="E87" s="5" t="s">
        <v>8</v>
      </c>
      <c r="G87" s="9"/>
    </row>
    <row r="88" spans="1:21" ht="39">
      <c r="A88" s="72" t="s">
        <v>99</v>
      </c>
      <c r="B88" s="72"/>
      <c r="E88" s="5" t="s">
        <v>9</v>
      </c>
      <c r="G88" s="9"/>
    </row>
    <row r="89" spans="1:21">
      <c r="A89" s="73" t="s">
        <v>10</v>
      </c>
      <c r="B89" s="73"/>
      <c r="C89" s="74"/>
      <c r="D89" s="74"/>
      <c r="E89" s="75" t="s">
        <v>11</v>
      </c>
      <c r="G89" s="76"/>
    </row>
    <row r="90" spans="1:21">
      <c r="A90" s="74" t="str">
        <f>+G2</f>
        <v>Date: .23/08/.2015</v>
      </c>
      <c r="B90" s="74"/>
      <c r="C90" s="74"/>
      <c r="D90" s="74"/>
      <c r="E90" s="75" t="str">
        <f>+A90</f>
        <v>Date: .23/08/.2015</v>
      </c>
      <c r="G90" s="76"/>
      <c r="M90" s="77"/>
      <c r="N90" s="77"/>
      <c r="O90" s="77"/>
      <c r="P90" s="77"/>
    </row>
    <row r="91" spans="1:21" ht="18.75">
      <c r="I91" s="78"/>
      <c r="J91" s="79"/>
      <c r="K91" s="80"/>
      <c r="M91" s="77"/>
      <c r="N91" s="162"/>
      <c r="O91" s="162"/>
      <c r="P91" s="77"/>
    </row>
    <row r="92" spans="1:21">
      <c r="I92" s="81"/>
      <c r="J92" s="82"/>
      <c r="K92" s="77"/>
      <c r="L92" s="77"/>
      <c r="M92" s="83"/>
      <c r="N92" s="83"/>
      <c r="O92" s="84"/>
      <c r="P92" s="83"/>
      <c r="Q92" s="77"/>
      <c r="R92" s="77"/>
      <c r="S92" s="77"/>
      <c r="T92" s="77"/>
      <c r="U92" s="77"/>
    </row>
    <row r="93" spans="1:21">
      <c r="I93" s="85"/>
      <c r="J93" s="86"/>
      <c r="K93" s="87"/>
      <c r="L93" s="88"/>
      <c r="M93" s="89"/>
      <c r="N93" s="89"/>
      <c r="O93" s="89"/>
      <c r="P93" s="89"/>
      <c r="Q93" s="89"/>
      <c r="R93" s="77"/>
      <c r="S93" s="77"/>
      <c r="T93" s="77"/>
      <c r="U93" s="77"/>
    </row>
    <row r="94" spans="1:21">
      <c r="I94" s="85"/>
      <c r="J94" s="86"/>
      <c r="K94" s="87"/>
      <c r="L94" s="88"/>
      <c r="M94" s="89"/>
      <c r="N94" s="89"/>
      <c r="O94" s="89"/>
      <c r="P94" s="89"/>
      <c r="Q94" s="89"/>
      <c r="R94" s="77"/>
      <c r="S94" s="77"/>
      <c r="T94" s="77"/>
      <c r="U94" s="77"/>
    </row>
    <row r="95" spans="1:21">
      <c r="I95" s="85"/>
      <c r="J95" s="86"/>
      <c r="K95" s="87"/>
      <c r="L95" s="88"/>
      <c r="M95" s="89"/>
      <c r="N95" s="89"/>
      <c r="O95" s="89"/>
      <c r="P95" s="89"/>
      <c r="Q95" s="89"/>
      <c r="R95" s="77"/>
      <c r="S95" s="77"/>
      <c r="T95" s="77"/>
      <c r="U95" s="77"/>
    </row>
    <row r="96" spans="1:21">
      <c r="I96" s="85"/>
      <c r="J96" s="86"/>
      <c r="K96" s="87"/>
      <c r="L96" s="88"/>
      <c r="M96" s="89"/>
      <c r="N96" s="89"/>
      <c r="O96" s="89"/>
      <c r="P96" s="89"/>
      <c r="Q96" s="89"/>
      <c r="R96" s="77"/>
      <c r="S96" s="77"/>
      <c r="T96" s="77"/>
      <c r="U96" s="77"/>
    </row>
    <row r="97" spans="7:21">
      <c r="I97" s="85"/>
      <c r="J97" s="86"/>
      <c r="K97" s="87"/>
      <c r="L97" s="88"/>
      <c r="M97" s="89"/>
      <c r="N97" s="89"/>
      <c r="O97" s="89"/>
      <c r="P97" s="89"/>
      <c r="Q97" s="89"/>
      <c r="R97" s="77"/>
      <c r="S97" s="77"/>
      <c r="T97" s="77"/>
      <c r="U97" s="77"/>
    </row>
    <row r="98" spans="7:21">
      <c r="I98" s="85"/>
      <c r="J98" s="86"/>
      <c r="K98" s="87"/>
      <c r="L98" s="88"/>
      <c r="M98" s="89"/>
      <c r="N98" s="89"/>
      <c r="O98" s="89"/>
      <c r="P98" s="89"/>
      <c r="Q98" s="89"/>
      <c r="R98" s="77"/>
      <c r="S98" s="77"/>
      <c r="T98" s="77"/>
      <c r="U98" s="77"/>
    </row>
    <row r="99" spans="7:21">
      <c r="I99" s="81"/>
      <c r="J99" s="82"/>
      <c r="K99" s="77"/>
      <c r="L99" s="77"/>
      <c r="M99" s="77"/>
      <c r="N99" s="77"/>
      <c r="O99" s="89"/>
      <c r="P99" s="89"/>
      <c r="Q99" s="77"/>
      <c r="R99" s="77"/>
      <c r="S99" s="77"/>
      <c r="T99" s="77"/>
      <c r="U99" s="77"/>
    </row>
    <row r="100" spans="7:21">
      <c r="O100" s="90"/>
      <c r="P100" s="91"/>
    </row>
    <row r="105" spans="7:21">
      <c r="G105" s="40"/>
    </row>
  </sheetData>
  <mergeCells count="9">
    <mergeCell ref="A14:G14"/>
    <mergeCell ref="A86:E86"/>
    <mergeCell ref="N91:O91"/>
    <mergeCell ref="A1:E2"/>
    <mergeCell ref="F1:F2"/>
    <mergeCell ref="A3:F3"/>
    <mergeCell ref="A9:G9"/>
    <mergeCell ref="A10:G10"/>
    <mergeCell ref="A12:G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საბოლოო ფორმა N3</vt:lpstr>
      <vt:lpstr>საბოლოო ფორმა N2</vt:lpstr>
      <vt:lpstr>შუალედური ფორმა N3</vt:lpstr>
      <vt:lpstr>შუალედური ფორმა N2</vt:lpstr>
      <vt:lpstr>ცვლილების აქტი</vt:lpstr>
      <vt:lpstr>1-1-ახ_ნიმუში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2020-06-04T10:44:15Z</dcterms:modified>
</cp:coreProperties>
</file>